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f6797fc4e24bf53b/Desktop/"/>
    </mc:Choice>
  </mc:AlternateContent>
  <xr:revisionPtr revIDLastSave="0" documentId="8_{4C1CEB65-2932-4F19-9CB0-86D9EB9BF519}" xr6:coauthVersionLast="47" xr6:coauthVersionMax="47" xr10:uidLastSave="{00000000-0000-0000-0000-000000000000}"/>
  <bookViews>
    <workbookView xWindow="28680" yWindow="-120" windowWidth="29040" windowHeight="15840" tabRatio="500" xr2:uid="{5B4A9F42-D6B7-42AD-A3FF-92BB6848F4E5}"/>
  </bookViews>
  <sheets>
    <sheet name="Resumo" sheetId="17" r:id="rId1"/>
    <sheet name="SEGUNDA A DOMINGO 12H DIURNO" sheetId="19" r:id="rId2"/>
    <sheet name="SEGUNDA A DOMINGO 12H NOTURNO" sheetId="16" r:id="rId3"/>
    <sheet name=" Insumos " sheetId="7" r:id="rId4"/>
  </sheets>
  <externalReferences>
    <externalReference r:id="rId5"/>
  </externalReferences>
  <definedNames>
    <definedName name="_xlnm.Print_Area" localSheetId="3">' Insumos '!$A$1:$F$25</definedName>
    <definedName name="_xlnm.Print_Area" localSheetId="0">Resumo!$B$2:$H$8</definedName>
    <definedName name="_xlnm.Print_Area" localSheetId="1">'SEGUNDA A DOMINGO 12H DIURNO'!$A$1:$D$122</definedName>
    <definedName name="_xlnm.Print_Area" localSheetId="2">'SEGUNDA A DOMINGO 12H NOTURNO'!$A$1:$D$122</definedName>
    <definedName name="DIAS_AUSENCIAS_LEGAIS">'[1]DADOS-ESTATISTICOS'!$F$29</definedName>
    <definedName name="DIAS_LICENCA_MATERNIDADE">'[1]DADOS-ESTATISTICOS'!$F$35</definedName>
    <definedName name="DIAS_LICENCA_PATERNIDADE">'[1]DADOS-ESTATISTICOS'!$F$30</definedName>
    <definedName name="DIAS_NO_MES">'[1]DADOS-ESTATISTICOS'!$F$24</definedName>
    <definedName name="DIAS_PAGOS_EMPRESA_ACID_TRAB">'[1]DADOS-ESTATISTICOS'!$F$34</definedName>
    <definedName name="MESES_NO_ANO">'[1]DADOS-ESTATISTICOS'!$F$8</definedName>
    <definedName name="PERC_EMPREG_AFAST_TRAB">'[1]DADOS-ESTATISTICOS'!$F$33</definedName>
    <definedName name="PERC_GPS_FGTS" localSheetId="1">'SEGUNDA A DOMINGO 12H DIURNO'!#REF!</definedName>
    <definedName name="PERC_GPS_FGTS" localSheetId="2">'SEGUNDA A DOMINGO 12H NOTURNO'!#REF!</definedName>
    <definedName name="PERC_GPS_FGTS">#REF!</definedName>
    <definedName name="PERC_NASCIDOS_VIVOS_POPUL_FEM">'[1]DADOS-ESTATISTICOS'!$F$31</definedName>
    <definedName name="PERC_PARTIC_FEM_VIGIL">'[1]DADOS-ESTATISTICOS'!$F$36</definedName>
    <definedName name="PERC_PARTIC_MASC_VIGIL">'[1]DADOS-ESTATISTICOS'!$F$32</definedName>
    <definedName name="PERC_SUBSTITUTO_OUTRAS_AUSENCIAS">'[1]INSERÇÃO-DE-DADOS'!$F$51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7" l="1"/>
  <c r="E7" i="7" s="1"/>
  <c r="D8" i="7"/>
  <c r="E8" i="7"/>
  <c r="F8" i="7" s="1"/>
  <c r="D22" i="7"/>
  <c r="E22" i="7" s="1"/>
  <c r="F22" i="7" s="1"/>
  <c r="D53" i="19"/>
  <c r="D49" i="19"/>
  <c r="D54" i="19" s="1"/>
  <c r="D60" i="19" s="1"/>
  <c r="D48" i="19"/>
  <c r="D19" i="19"/>
  <c r="D24" i="19"/>
  <c r="C111" i="19"/>
  <c r="C80" i="19"/>
  <c r="C79" i="19"/>
  <c r="C78" i="19"/>
  <c r="C77" i="19"/>
  <c r="D77" i="19" s="1"/>
  <c r="C76" i="19"/>
  <c r="C82" i="19" s="1"/>
  <c r="C68" i="19"/>
  <c r="C70" i="19" s="1"/>
  <c r="D70" i="19" s="1"/>
  <c r="C67" i="19"/>
  <c r="C65" i="19"/>
  <c r="C66" i="19"/>
  <c r="C44" i="19"/>
  <c r="C30" i="19"/>
  <c r="C29" i="19"/>
  <c r="C31" i="19" s="1"/>
  <c r="D53" i="16"/>
  <c r="D54" i="16" s="1"/>
  <c r="D60" i="16" s="1"/>
  <c r="D48" i="16"/>
  <c r="D49" i="16"/>
  <c r="C111" i="16"/>
  <c r="C80" i="16"/>
  <c r="C79" i="16"/>
  <c r="C78" i="16"/>
  <c r="C77" i="16"/>
  <c r="C82" i="16"/>
  <c r="C76" i="16"/>
  <c r="C68" i="16"/>
  <c r="C70" i="16"/>
  <c r="C67" i="16"/>
  <c r="C65" i="16"/>
  <c r="C66" i="16" s="1"/>
  <c r="C71" i="16" s="1"/>
  <c r="C44" i="16"/>
  <c r="C69" i="16" s="1"/>
  <c r="C30" i="16"/>
  <c r="C29" i="16"/>
  <c r="C31" i="16"/>
  <c r="D19" i="16"/>
  <c r="D21" i="16"/>
  <c r="D21" i="7"/>
  <c r="E21" i="7" s="1"/>
  <c r="F21" i="7" s="1"/>
  <c r="D5" i="7"/>
  <c r="E5" i="7"/>
  <c r="F5" i="7" s="1"/>
  <c r="D6" i="7"/>
  <c r="E6" i="7"/>
  <c r="F6" i="7"/>
  <c r="D9" i="7"/>
  <c r="E9" i="7" s="1"/>
  <c r="F9" i="7" s="1"/>
  <c r="D10" i="7"/>
  <c r="D16" i="7" s="1"/>
  <c r="D11" i="7"/>
  <c r="E11" i="7"/>
  <c r="F11" i="7"/>
  <c r="D12" i="7"/>
  <c r="E12" i="7" s="1"/>
  <c r="F12" i="7" s="1"/>
  <c r="D13" i="7"/>
  <c r="E13" i="7"/>
  <c r="F13" i="7"/>
  <c r="D14" i="7"/>
  <c r="E14" i="7"/>
  <c r="F14" i="7" s="1"/>
  <c r="D15" i="7"/>
  <c r="E15" i="7"/>
  <c r="F15" i="7" s="1"/>
  <c r="D4" i="7"/>
  <c r="E4" i="7"/>
  <c r="F4" i="7"/>
  <c r="D20" i="7"/>
  <c r="E20" i="7" s="1"/>
  <c r="D23" i="7"/>
  <c r="E23" i="7" s="1"/>
  <c r="F23" i="7" s="1"/>
  <c r="D97" i="16"/>
  <c r="D97" i="19"/>
  <c r="D24" i="16"/>
  <c r="D30" i="16" s="1"/>
  <c r="D115" i="19"/>
  <c r="D30" i="19"/>
  <c r="D31" i="19" s="1"/>
  <c r="D78" i="19"/>
  <c r="D81" i="19"/>
  <c r="D67" i="19"/>
  <c r="D29" i="19"/>
  <c r="D66" i="19"/>
  <c r="D86" i="19"/>
  <c r="D87" i="19"/>
  <c r="D92" i="19" s="1"/>
  <c r="D80" i="19"/>
  <c r="D65" i="19"/>
  <c r="D79" i="19"/>
  <c r="D76" i="19"/>
  <c r="D82" i="19" s="1"/>
  <c r="D91" i="19" s="1"/>
  <c r="D93" i="19" s="1"/>
  <c r="D118" i="19" s="1"/>
  <c r="D68" i="16"/>
  <c r="D65" i="16"/>
  <c r="F20" i="7" l="1"/>
  <c r="E24" i="7"/>
  <c r="F24" i="7" s="1"/>
  <c r="D41" i="19"/>
  <c r="D58" i="19"/>
  <c r="D38" i="19"/>
  <c r="D40" i="19"/>
  <c r="D36" i="19"/>
  <c r="D44" i="19" s="1"/>
  <c r="D59" i="19" s="1"/>
  <c r="D37" i="19"/>
  <c r="D43" i="19"/>
  <c r="D39" i="19"/>
  <c r="D42" i="19"/>
  <c r="D25" i="7"/>
  <c r="F7" i="7"/>
  <c r="F16" i="7" s="1"/>
  <c r="E16" i="7"/>
  <c r="D67" i="16"/>
  <c r="D78" i="16"/>
  <c r="D24" i="7"/>
  <c r="D41" i="16"/>
  <c r="D70" i="16"/>
  <c r="D77" i="16"/>
  <c r="D79" i="16"/>
  <c r="D68" i="19"/>
  <c r="D71" i="19" s="1"/>
  <c r="D117" i="19" s="1"/>
  <c r="C69" i="19"/>
  <c r="D69" i="19" s="1"/>
  <c r="D69" i="16"/>
  <c r="D76" i="16"/>
  <c r="C71" i="19"/>
  <c r="D81" i="16"/>
  <c r="E10" i="7"/>
  <c r="F10" i="7" s="1"/>
  <c r="D38" i="16"/>
  <c r="D66" i="16"/>
  <c r="D29" i="16"/>
  <c r="D31" i="16" s="1"/>
  <c r="D58" i="16" s="1"/>
  <c r="D40" i="16"/>
  <c r="D36" i="16"/>
  <c r="D42" i="16"/>
  <c r="D86" i="16"/>
  <c r="D87" i="16" s="1"/>
  <c r="D92" i="16" s="1"/>
  <c r="D115" i="16"/>
  <c r="D80" i="16"/>
  <c r="D99" i="19" l="1"/>
  <c r="D101" i="19" s="1"/>
  <c r="D119" i="19" s="1"/>
  <c r="D99" i="16"/>
  <c r="D101" i="16" s="1"/>
  <c r="D119" i="16" s="1"/>
  <c r="D61" i="19"/>
  <c r="D116" i="19" s="1"/>
  <c r="D120" i="19" s="1"/>
  <c r="D82" i="16"/>
  <c r="D91" i="16" s="1"/>
  <c r="D93" i="16" s="1"/>
  <c r="D118" i="16" s="1"/>
  <c r="D44" i="16"/>
  <c r="D59" i="16" s="1"/>
  <c r="D71" i="16"/>
  <c r="D117" i="16" s="1"/>
  <c r="D61" i="16"/>
  <c r="D116" i="16" s="1"/>
  <c r="D120" i="16" s="1"/>
  <c r="D37" i="16"/>
  <c r="D43" i="16"/>
  <c r="D39" i="16"/>
  <c r="D105" i="16" l="1"/>
  <c r="D106" i="16"/>
  <c r="D110" i="16" s="1"/>
  <c r="D105" i="19"/>
  <c r="D108" i="16" l="1"/>
  <c r="D111" i="16" s="1"/>
  <c r="D121" i="16" s="1"/>
  <c r="D122" i="16" s="1"/>
  <c r="D5" i="17" s="1"/>
  <c r="F5" i="17" s="1"/>
  <c r="H5" i="17" s="1"/>
  <c r="D106" i="19"/>
  <c r="D110" i="19" s="1"/>
  <c r="D109" i="16"/>
  <c r="D108" i="19" l="1"/>
  <c r="D109" i="19"/>
  <c r="D111" i="19" s="1"/>
  <c r="D121" i="19" s="1"/>
  <c r="D122" i="19" s="1"/>
  <c r="D4" i="17" s="1"/>
  <c r="F4" i="17" s="1"/>
  <c r="H4" i="17" s="1"/>
  <c r="H6" i="17" s="1"/>
  <c r="H7" i="17" s="1"/>
</calcChain>
</file>

<file path=xl/sharedStrings.xml><?xml version="1.0" encoding="utf-8"?>
<sst xmlns="http://schemas.openxmlformats.org/spreadsheetml/2006/main" count="420" uniqueCount="150">
  <si>
    <t>(A)</t>
  </si>
  <si>
    <t>(B)</t>
  </si>
  <si>
    <t>(D) = (B x C)</t>
  </si>
  <si>
    <t>(E)</t>
  </si>
  <si>
    <t>(F) = (D x E)</t>
  </si>
  <si>
    <t>( C)</t>
  </si>
  <si>
    <t>PLANILHA DE CUSTOS E FORMAÇÃO DE PREÇOS</t>
  </si>
  <si>
    <t>DISCRIMINAÇÃO DOS SERVIÇOS</t>
  </si>
  <si>
    <t>1. MÓDULOS</t>
  </si>
  <si>
    <t>Mão de obra</t>
  </si>
  <si>
    <t>Mão de obra vinculada à execução contratual</t>
  </si>
  <si>
    <t>Dados para composição dos custos referentes a mão de obra</t>
  </si>
  <si>
    <t>Tipo de serviço (mesmo serviço com características distintas)</t>
  </si>
  <si>
    <t>Classificação Brasileira de Ocupações (CBO)</t>
  </si>
  <si>
    <t>Salário Normativo da Categoria Profissional</t>
  </si>
  <si>
    <t>Categoria Profissional (vinculada à execução contratual)</t>
  </si>
  <si>
    <t>Data-Base da Categoria (dia/mês/ano)</t>
  </si>
  <si>
    <t>Módulo 1 – Composição da Remuneração</t>
  </si>
  <si>
    <t>Composição da Remuneração</t>
  </si>
  <si>
    <t>Valor (R$)</t>
  </si>
  <si>
    <t>A</t>
  </si>
  <si>
    <t>Salário-Base</t>
  </si>
  <si>
    <t>B</t>
  </si>
  <si>
    <t>Adicional de Periculosidade</t>
  </si>
  <si>
    <t>C</t>
  </si>
  <si>
    <t>Adicional de Insalubridade</t>
  </si>
  <si>
    <t>D</t>
  </si>
  <si>
    <t>Adicional Noturno</t>
  </si>
  <si>
    <t>E</t>
  </si>
  <si>
    <t>Adicional de Hora Noturna Reduzida</t>
  </si>
  <si>
    <t>F</t>
  </si>
  <si>
    <t>Outros (especificar)</t>
  </si>
  <si>
    <t>Total</t>
  </si>
  <si>
    <t>Módulo 2 – Encargos e Benefícios Anuais, Mensais e Diários</t>
  </si>
  <si>
    <t>2.1</t>
  </si>
  <si>
    <t>13º (décimo terceiro) Salário, Férias e Adicional de Férias</t>
  </si>
  <si>
    <t>13º (décimo terceiro) Salário</t>
  </si>
  <si>
    <t>Submódulo 2.2 – Encargos Previdenciários (GPS), Fundo de Garantia por Tempo</t>
  </si>
  <si>
    <t>de Serviço (FGTS) e outras contribuições.</t>
  </si>
  <si>
    <t>2.2</t>
  </si>
  <si>
    <t>GPS, FGTS e outras contribuições</t>
  </si>
  <si>
    <t>Percentual (%)</t>
  </si>
  <si>
    <t>INSS</t>
  </si>
  <si>
    <t>Salário Educação</t>
  </si>
  <si>
    <t>SAT</t>
  </si>
  <si>
    <t>SESC ou SESI</t>
  </si>
  <si>
    <t>SENAI – SENAC</t>
  </si>
  <si>
    <t>SEBRAE</t>
  </si>
  <si>
    <t>G</t>
  </si>
  <si>
    <t>INCRA</t>
  </si>
  <si>
    <t>H</t>
  </si>
  <si>
    <t>FGTS</t>
  </si>
  <si>
    <t>Submódulo 2.3 – Benefícios Mensais e Diários</t>
  </si>
  <si>
    <t>2.3</t>
  </si>
  <si>
    <t>Benefícios Mensais e Diários</t>
  </si>
  <si>
    <t>Transporte</t>
  </si>
  <si>
    <t>Auxílio-Refeição/Alimentação</t>
  </si>
  <si>
    <t>Assistência Médica e Familiar</t>
  </si>
  <si>
    <t>Quadro-Resumo do Módulo 2 – Encargos e Benefícios anuais, mensais e diários</t>
  </si>
  <si>
    <t>Encargos e Benefícios Anuais, Mensais e Diários</t>
  </si>
  <si>
    <t>Módulo 3 – Provisão para Rescisão</t>
  </si>
  <si>
    <t>Provisão para Rescisão</t>
  </si>
  <si>
    <t xml:space="preserve">Aviso Prévio Indenizado </t>
  </si>
  <si>
    <t xml:space="preserve">Incidência do FGTS sobre o Aviso Prévio Indenizado </t>
  </si>
  <si>
    <t>Multa do FGTS e contribuição social sobre o Aviso Prévio Trabalhado</t>
  </si>
  <si>
    <t>Módulo 4 – Custo de Reposição do Profissional Ausente</t>
  </si>
  <si>
    <t>Submódulo 4.1 – Substituto de Ausências Legais</t>
  </si>
  <si>
    <t>4.1</t>
  </si>
  <si>
    <t>Substituto de Ausências Legais</t>
  </si>
  <si>
    <t>Substituto na cobertura de Férias</t>
  </si>
  <si>
    <t>Substituto na cobertura de Ausências Legais</t>
  </si>
  <si>
    <t>Substituto na cobertura de Licença Paternidade</t>
  </si>
  <si>
    <t>Substituto na cobertura de Ausência por acidente de trabalho</t>
  </si>
  <si>
    <t>Substituto na cobertura de Outras ausências (especificar)</t>
  </si>
  <si>
    <t>Subtotal</t>
  </si>
  <si>
    <t>Submódulo 4.2 – Substituto na Intrajornada</t>
  </si>
  <si>
    <t>4.2</t>
  </si>
  <si>
    <t>Substituto na Intrajornada</t>
  </si>
  <si>
    <t>Substituto na cobertura de Intervalo para repouso ou alimentação</t>
  </si>
  <si>
    <t>Quadro-Resumo do Módulo 4 – Custo de Reposição do Profissional Ausente</t>
  </si>
  <si>
    <t>Custo de Reposição do Profissional Ausente</t>
  </si>
  <si>
    <t>Substituto nas Ausências Legais</t>
  </si>
  <si>
    <t>Módulo 5 – Insumos Diversos</t>
  </si>
  <si>
    <t>Insumo Diversos</t>
  </si>
  <si>
    <t>Módulo 6 – Custos Indiretos, Tributos e Lucro</t>
  </si>
  <si>
    <t>Custos Indiretos, Tributos e Lucro</t>
  </si>
  <si>
    <t>Custos Indiretos</t>
  </si>
  <si>
    <t>Lucro</t>
  </si>
  <si>
    <t>Tributos</t>
  </si>
  <si>
    <t>2. QUADRO-RESUMO DO CUSTO POR EMPREGADO</t>
  </si>
  <si>
    <t>Mão de obra vinculada à execução contratual (valor por empregado)</t>
  </si>
  <si>
    <t>Módulo 5 – Insumo Diversos</t>
  </si>
  <si>
    <t>Subtotal (A + B + C + D + E)</t>
  </si>
  <si>
    <t>Valor total por empregado</t>
  </si>
  <si>
    <t xml:space="preserve">Substituto na cobertura de Afastamento Maternidade </t>
  </si>
  <si>
    <t xml:space="preserve">Aviso Prévio Trabalhado </t>
  </si>
  <si>
    <t xml:space="preserve">Incidência de GPS, FGTS e outras contribuições sobre o Aviso Prévio Trabalhado </t>
  </si>
  <si>
    <t xml:space="preserve">Multa do FGTS e contribuição social sobre o Aviso Prévio Indenizado </t>
  </si>
  <si>
    <t>Descrição</t>
  </si>
  <si>
    <t>Capa de chuva</t>
  </si>
  <si>
    <t>Seguro de vida//invalidez e funeral</t>
  </si>
  <si>
    <t>C.2. Tributos Estaduais ( Confins )</t>
  </si>
  <si>
    <t>C.3. Tributos Municipais ( ISS )</t>
  </si>
  <si>
    <t>C.1. Tributos Federais ( PIS )</t>
  </si>
  <si>
    <t xml:space="preserve"> CBO517330</t>
  </si>
  <si>
    <t xml:space="preserve">           SIND DOS VIGILANTE</t>
  </si>
  <si>
    <t>Quantidade p/ 12 meses</t>
  </si>
  <si>
    <t>Valor Unit.</t>
  </si>
  <si>
    <t>Valor Total p/ 12 meses</t>
  </si>
  <si>
    <t>Valor Mensal p/ Posto</t>
  </si>
  <si>
    <t xml:space="preserve">Equipamentos Coletivos Por Postos </t>
  </si>
  <si>
    <t xml:space="preserve">Uniformes </t>
  </si>
  <si>
    <t xml:space="preserve">Quantidade p/ 12 meses </t>
  </si>
  <si>
    <t>Equipamentos individuais</t>
  </si>
  <si>
    <t>Valor Mensal dos Serviços</t>
  </si>
  <si>
    <t>Fundo de Formação Profissional (mensal)</t>
  </si>
  <si>
    <t>Adicional de Férias</t>
  </si>
  <si>
    <t xml:space="preserve">Jaqueta forrada </t>
  </si>
  <si>
    <t>Cinto de Nylon</t>
  </si>
  <si>
    <t>Cracha</t>
  </si>
  <si>
    <t>Porta cassetete</t>
  </si>
  <si>
    <t>Apito</t>
  </si>
  <si>
    <t>Cordão de apito</t>
  </si>
  <si>
    <t xml:space="preserve">Calça </t>
  </si>
  <si>
    <t xml:space="preserve">Camisa de manga curta </t>
  </si>
  <si>
    <t>Camisa de manga comprida</t>
  </si>
  <si>
    <t>Par de coturnos ou sapatos</t>
  </si>
  <si>
    <t>Par de meias</t>
  </si>
  <si>
    <t>Livro de ocorrência</t>
  </si>
  <si>
    <t>Cassetete</t>
  </si>
  <si>
    <t>Lanterna Portatil em LED recarregável</t>
  </si>
  <si>
    <t xml:space="preserve">Descrição dos Insumo Diversos – Custo por Funcionário </t>
  </si>
  <si>
    <t>Total geral</t>
  </si>
  <si>
    <t>Valor Mensal por funcionário</t>
  </si>
  <si>
    <t>Segunda a domingo (12 horas noturnas)</t>
  </si>
  <si>
    <t>Tipo de Serviço</t>
  </si>
  <si>
    <t>Valor por Empregado</t>
  </si>
  <si>
    <t>Qtde. de Empregados por Posto</t>
  </si>
  <si>
    <t>Valor por Posto</t>
  </si>
  <si>
    <t xml:space="preserve">Qtde. de Postos </t>
  </si>
  <si>
    <t>Valor Total do Serviço</t>
  </si>
  <si>
    <t>Valor Total (12 Meses)</t>
  </si>
  <si>
    <t>Submódulo 2.1 – 13º (décimo terceiro) Salário e Adicional de Férias</t>
  </si>
  <si>
    <t xml:space="preserve">Auxílio-Refeição/Alimentação nas férias </t>
  </si>
  <si>
    <t>Segunda a domingo (12 horas diurnas)</t>
  </si>
  <si>
    <t>Equipamentos Coletivos (custo por funcionário)</t>
  </si>
  <si>
    <t>Vigilância – 12 horas diurnas, de segunda a domingo em turnos de 12x36 horas</t>
  </si>
  <si>
    <t>Vigilância – 12 horas noturnas, de segunda a domingo em turnos de 12x36 horas.</t>
  </si>
  <si>
    <t>2025 a 2026</t>
  </si>
  <si>
    <t>Boné ou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</si>
</sst>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 * #,##0.00\ ;\ * \(#,##0.00\);\ * \-#\ ;\ @\ "/>
    <numFmt numFmtId="165" formatCode="0.000%"/>
  </numFmts>
  <fonts count="16">
    <font>
      <sz val="10"/>
      <name val="Arial"/>
      <family val="2"/>
    </font>
    <font>
      <sz val="10"/>
      <color indexed="8"/>
      <name val="Arial"/>
      <family val="2"/>
    </font>
    <font>
      <sz val="10"/>
      <color indexed="63"/>
      <name val="Arial"/>
      <family val="2"/>
    </font>
    <font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NewRomanPSMT"/>
    </font>
    <font>
      <sz val="10"/>
      <name val="Arial"/>
      <family val="2"/>
    </font>
    <font>
      <sz val="14"/>
      <name val="TimesNewRomanPSMT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22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rgb="FFCCCC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4" fontId="13" fillId="0" borderId="0" applyFont="0" applyFill="0" applyBorder="0" applyAlignment="0" applyProtection="0"/>
    <xf numFmtId="0" fontId="5" fillId="8" borderId="0" applyNumberFormat="0" applyBorder="0" applyAlignment="0" applyProtection="0"/>
    <xf numFmtId="0" fontId="11" fillId="0" borderId="0"/>
    <xf numFmtId="0" fontId="13" fillId="0" borderId="0"/>
    <xf numFmtId="0" fontId="2" fillId="8" borderId="1" applyNumberFormat="0" applyAlignment="0" applyProtection="0"/>
    <xf numFmtId="9" fontId="1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4" fontId="11" fillId="0" borderId="0" applyFill="0" applyBorder="0" applyAlignment="0" applyProtection="0"/>
    <xf numFmtId="43" fontId="1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7">
    <xf numFmtId="0" fontId="0" fillId="0" borderId="0" xfId="0"/>
    <xf numFmtId="0" fontId="8" fillId="0" borderId="0" xfId="0" applyFont="1"/>
    <xf numFmtId="0" fontId="9" fillId="0" borderId="0" xfId="0" applyFont="1"/>
    <xf numFmtId="10" fontId="8" fillId="0" borderId="0" xfId="0" applyNumberFormat="1" applyFont="1"/>
    <xf numFmtId="0" fontId="8" fillId="12" borderId="0" xfId="0" applyFont="1" applyFill="1"/>
    <xf numFmtId="0" fontId="8" fillId="13" borderId="0" xfId="0" applyFont="1" applyFill="1"/>
    <xf numFmtId="0" fontId="9" fillId="0" borderId="0" xfId="0" applyFont="1" applyAlignment="1">
      <alignment horizontal="center"/>
    </xf>
    <xf numFmtId="10" fontId="9" fillId="0" borderId="0" xfId="0" applyNumberFormat="1" applyFont="1" applyAlignment="1">
      <alignment horizontal="center"/>
    </xf>
    <xf numFmtId="4" fontId="9" fillId="0" borderId="0" xfId="0" applyNumberFormat="1" applyFont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9" borderId="2" xfId="0" applyFont="1" applyFill="1" applyBorder="1" applyAlignment="1">
      <alignment horizontal="center"/>
    </xf>
    <xf numFmtId="0" fontId="9" fillId="9" borderId="2" xfId="0" applyFont="1" applyFill="1" applyBorder="1"/>
    <xf numFmtId="4" fontId="8" fillId="0" borderId="2" xfId="0" applyNumberFormat="1" applyFont="1" applyBorder="1"/>
    <xf numFmtId="4" fontId="9" fillId="9" borderId="2" xfId="0" applyNumberFormat="1" applyFont="1" applyFill="1" applyBorder="1"/>
    <xf numFmtId="10" fontId="8" fillId="0" borderId="2" xfId="0" applyNumberFormat="1" applyFont="1" applyBorder="1"/>
    <xf numFmtId="10" fontId="9" fillId="9" borderId="2" xfId="0" applyNumberFormat="1" applyFont="1" applyFill="1" applyBorder="1"/>
    <xf numFmtId="10" fontId="8" fillId="0" borderId="2" xfId="0" applyNumberFormat="1" applyFont="1" applyBorder="1" applyAlignment="1">
      <alignment horizontal="center"/>
    </xf>
    <xf numFmtId="10" fontId="9" fillId="9" borderId="2" xfId="0" applyNumberFormat="1" applyFont="1" applyFill="1" applyBorder="1" applyAlignment="1">
      <alignment horizontal="center"/>
    </xf>
    <xf numFmtId="0" fontId="8" fillId="9" borderId="2" xfId="0" applyFont="1" applyFill="1" applyBorder="1"/>
    <xf numFmtId="165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10" fontId="8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vertical="center"/>
    </xf>
    <xf numFmtId="4" fontId="8" fillId="0" borderId="2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right"/>
    </xf>
    <xf numFmtId="43" fontId="8" fillId="0" borderId="2" xfId="0" applyNumberFormat="1" applyFont="1" applyBorder="1"/>
    <xf numFmtId="4" fontId="8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wrapText="1"/>
    </xf>
    <xf numFmtId="3" fontId="15" fillId="0" borderId="6" xfId="20" applyNumberFormat="1" applyFont="1" applyFill="1" applyBorder="1" applyAlignment="1" applyProtection="1">
      <alignment horizontal="center" vertical="center" wrapText="1"/>
    </xf>
    <xf numFmtId="4" fontId="15" fillId="0" borderId="6" xfId="20" applyNumberFormat="1" applyFont="1" applyFill="1" applyBorder="1" applyAlignment="1" applyProtection="1">
      <alignment horizontal="center" vertical="center" wrapText="1"/>
    </xf>
    <xf numFmtId="4" fontId="15" fillId="0" borderId="6" xfId="20" applyNumberFormat="1" applyFont="1" applyBorder="1" applyAlignment="1" applyProtection="1">
      <alignment horizontal="center" vertical="center" wrapText="1"/>
    </xf>
    <xf numFmtId="2" fontId="15" fillId="0" borderId="6" xfId="20" applyNumberFormat="1" applyFont="1" applyBorder="1" applyAlignment="1" applyProtection="1">
      <alignment horizontal="center" vertical="center" wrapText="1"/>
    </xf>
    <xf numFmtId="2" fontId="15" fillId="0" borderId="6" xfId="20" applyNumberFormat="1" applyFont="1" applyFill="1" applyBorder="1" applyAlignment="1" applyProtection="1">
      <alignment horizontal="center" vertical="center" wrapText="1"/>
    </xf>
    <xf numFmtId="0" fontId="14" fillId="14" borderId="7" xfId="0" applyFont="1" applyFill="1" applyBorder="1" applyAlignment="1">
      <alignment horizontal="left" vertical="center" wrapText="1"/>
    </xf>
    <xf numFmtId="0" fontId="15" fillId="14" borderId="9" xfId="0" applyFont="1" applyFill="1" applyBorder="1" applyAlignment="1">
      <alignment horizontal="center" vertical="center" wrapText="1"/>
    </xf>
    <xf numFmtId="4" fontId="15" fillId="14" borderId="8" xfId="0" applyNumberFormat="1" applyFont="1" applyFill="1" applyBorder="1" applyAlignment="1">
      <alignment horizontal="center" vertical="center" wrapText="1"/>
    </xf>
    <xf numFmtId="4" fontId="14" fillId="14" borderId="6" xfId="0" applyNumberFormat="1" applyFont="1" applyFill="1" applyBorder="1" applyAlignment="1">
      <alignment horizontal="center" vertical="center" wrapText="1"/>
    </xf>
    <xf numFmtId="2" fontId="14" fillId="14" borderId="6" xfId="0" applyNumberFormat="1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3" fontId="15" fillId="0" borderId="6" xfId="20" applyNumberFormat="1" applyFont="1" applyBorder="1" applyAlignment="1" applyProtection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2" fontId="14" fillId="15" borderId="6" xfId="20" applyNumberFormat="1" applyFont="1" applyFill="1" applyBorder="1" applyAlignment="1" applyProtection="1">
      <alignment horizontal="center" vertical="center" wrapText="1"/>
    </xf>
    <xf numFmtId="0" fontId="14" fillId="11" borderId="7" xfId="0" applyFont="1" applyFill="1" applyBorder="1" applyAlignment="1">
      <alignment horizontal="left" vertical="center" wrapText="1"/>
    </xf>
    <xf numFmtId="4" fontId="14" fillId="11" borderId="8" xfId="0" applyNumberFormat="1" applyFont="1" applyFill="1" applyBorder="1" applyAlignment="1">
      <alignment horizontal="center" vertical="center" wrapText="1"/>
    </xf>
    <xf numFmtId="4" fontId="14" fillId="11" borderId="6" xfId="0" applyNumberFormat="1" applyFont="1" applyFill="1" applyBorder="1" applyAlignment="1">
      <alignment horizontal="center" vertical="center" wrapText="1"/>
    </xf>
    <xf numFmtId="2" fontId="14" fillId="11" borderId="6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4" fontId="15" fillId="16" borderId="6" xfId="20" applyNumberFormat="1" applyFont="1" applyFill="1" applyBorder="1" applyAlignment="1" applyProtection="1">
      <alignment horizontal="center" vertical="center" wrapText="1"/>
      <protection locked="0"/>
    </xf>
    <xf numFmtId="0" fontId="15" fillId="16" borderId="6" xfId="0" applyFont="1" applyFill="1" applyBorder="1" applyAlignment="1" applyProtection="1">
      <alignment horizontal="center" vertical="center" wrapText="1"/>
      <protection locked="0"/>
    </xf>
    <xf numFmtId="0" fontId="9" fillId="10" borderId="2" xfId="0" applyFont="1" applyFill="1" applyBorder="1" applyAlignment="1">
      <alignment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/>
    </xf>
    <xf numFmtId="0" fontId="9" fillId="10" borderId="2" xfId="0" applyFont="1" applyFill="1" applyBorder="1"/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vertical="center"/>
    </xf>
    <xf numFmtId="4" fontId="9" fillId="10" borderId="2" xfId="0" applyNumberFormat="1" applyFont="1" applyFill="1" applyBorder="1"/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left" vertical="center"/>
    </xf>
    <xf numFmtId="0" fontId="9" fillId="10" borderId="5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14" borderId="7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</cellXfs>
  <cellStyles count="23">
    <cellStyle name="Accent" xfId="1" xr:uid="{0689395C-416A-4408-BF1D-C8F25F92318C}"/>
    <cellStyle name="Accent 1" xfId="2" xr:uid="{27AA0528-F20F-4845-B81C-CF0008F51632}"/>
    <cellStyle name="Accent 2" xfId="3" xr:uid="{6409562F-079E-4FDD-9DF0-9D7523060C8E}"/>
    <cellStyle name="Accent 3" xfId="4" xr:uid="{1AA0B212-949E-4790-912A-AF897C59B0F3}"/>
    <cellStyle name="Bad" xfId="5" xr:uid="{33925DB3-5710-46D0-8EC9-4AF8A78F07B2}"/>
    <cellStyle name="Error" xfId="6" xr:uid="{2305E814-091C-49FD-A7EE-898E35633C29}"/>
    <cellStyle name="Footnote" xfId="7" xr:uid="{35059A80-6C3D-4371-89A7-09ED61CEB07D}"/>
    <cellStyle name="Good" xfId="8" xr:uid="{B9BA5C76-C7C3-4FC7-8BBB-46D7CF45C17E}"/>
    <cellStyle name="Heading" xfId="9" xr:uid="{8EEA1EA7-71C3-4762-BBE6-339B97D11898}"/>
    <cellStyle name="Heading 1" xfId="10" xr:uid="{3EC453A0-A8A4-4E50-A902-F14F214799EF}"/>
    <cellStyle name="Heading 2" xfId="11" xr:uid="{C943F032-77AB-4365-99AA-1F513B566622}"/>
    <cellStyle name="Moeda 2" xfId="12" xr:uid="{563B2886-2338-4910-9473-C985173FC434}"/>
    <cellStyle name="Neutral" xfId="13" xr:uid="{98259AA8-4E04-441F-A8DD-A1CD009C7793}"/>
    <cellStyle name="Normal" xfId="0" builtinId="0"/>
    <cellStyle name="Normal 2" xfId="14" xr:uid="{05084268-A21B-4D62-A6D3-E5498E9FDE58}"/>
    <cellStyle name="Normal 4" xfId="15" xr:uid="{D08632EA-F265-4D70-A546-27A2A07596AD}"/>
    <cellStyle name="Note" xfId="16" xr:uid="{CC01DC84-71F6-4EB0-92DA-CA900D6CED33}"/>
    <cellStyle name="Porcentagem 3" xfId="17" xr:uid="{687428A7-4ACF-431B-914A-3FCBFBDAEB8F}"/>
    <cellStyle name="Status" xfId="18" xr:uid="{DABCD78C-5009-463D-84FF-CD455688A0BF}"/>
    <cellStyle name="Text" xfId="19" xr:uid="{CE8D4521-9C92-4A4F-8351-D1DCBA35F80E}"/>
    <cellStyle name="Vírgula 2" xfId="20" xr:uid="{7BED20F2-5DD7-455A-8E14-766C9C5F863B}"/>
    <cellStyle name="Vírgula 3" xfId="21" xr:uid="{5F9C299F-133B-4193-8B3B-0F2E9BF913D7}"/>
    <cellStyle name="Warning" xfId="22" xr:uid="{B315DB05-4AB8-49BB-897F-9FB9F8C15F3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CCCCC"/>
      <rgbColor rgb="00808080"/>
      <rgbColor rgb="009999FF"/>
      <rgbColor rgb="00993366"/>
      <rgbColor rgb="00FFFFCC"/>
      <rgbColor rgb="00EEEEEE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%2005.09.2022\Unidade%20de%20USB\Oseias%2011.06\OSEIAS\Termo%20de%20referencia\Limpeza%20e%20conserva&#231;&#227;o\2023\Manuais,%20cadernos%20e%20modelo%20planilha\MODELO-PLANILHA-PADRAO-MODULOS-IN-5-2017-ALTERADA-PELA-IN-7-2018-LIMPE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ERÇÃO-DE-DADOS"/>
      <sheetName val="DADOS-ESTATISTICOS"/>
      <sheetName val="ENCARGOS-SOCIAIS-E-TRABALHISTAS"/>
      <sheetName val="ENCARREGADOS"/>
      <sheetName val="SERVENTES"/>
      <sheetName val="SERVENTES-AREA-HOSP"/>
      <sheetName val="CUSTOS POR M²"/>
      <sheetName val="QUADRO-RESUMO"/>
      <sheetName val="LIMITES-SEGES-PORT-7-2015"/>
      <sheetName val="LIMITES-SEGES-PORT-213-2017"/>
      <sheetName val="QTDE-ESTIMADA-SERVENTES"/>
    </sheetNames>
    <sheetDataSet>
      <sheetData sheetId="0"/>
      <sheetData sheetId="1">
        <row r="8">
          <cell r="F8">
            <v>12</v>
          </cell>
        </row>
        <row r="24">
          <cell r="F24">
            <v>30</v>
          </cell>
        </row>
        <row r="29">
          <cell r="F29">
            <v>8</v>
          </cell>
        </row>
        <row r="30">
          <cell r="F30">
            <v>20</v>
          </cell>
        </row>
        <row r="31">
          <cell r="F31">
            <v>1.42</v>
          </cell>
        </row>
        <row r="32">
          <cell r="F32">
            <v>45.22</v>
          </cell>
        </row>
        <row r="33">
          <cell r="F33">
            <v>0.44</v>
          </cell>
        </row>
        <row r="34">
          <cell r="F34">
            <v>15</v>
          </cell>
        </row>
        <row r="35">
          <cell r="F35">
            <v>180</v>
          </cell>
        </row>
        <row r="36">
          <cell r="F36">
            <v>54.78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7A7F8-5E1C-48A4-8BF2-3B639F2587BE}">
  <dimension ref="B1:H7"/>
  <sheetViews>
    <sheetView tabSelected="1" zoomScaleNormal="100" workbookViewId="0">
      <selection activeCell="H10" sqref="H10"/>
    </sheetView>
  </sheetViews>
  <sheetFormatPr defaultRowHeight="12.5"/>
  <cols>
    <col min="1" max="1" width="2.7265625" customWidth="1"/>
    <col min="2" max="2" width="5.453125" customWidth="1"/>
    <col min="3" max="3" width="26.453125" customWidth="1"/>
    <col min="4" max="5" width="12.7265625" customWidth="1"/>
    <col min="6" max="6" width="14" customWidth="1"/>
    <col min="7" max="8" width="12.7265625" customWidth="1"/>
  </cols>
  <sheetData>
    <row r="1" spans="2:8" ht="10" customHeight="1"/>
    <row r="2" spans="2:8" ht="51.75" customHeight="1">
      <c r="B2" s="62" t="s">
        <v>135</v>
      </c>
      <c r="C2" s="63"/>
      <c r="D2" s="54" t="s">
        <v>136</v>
      </c>
      <c r="E2" s="55" t="s">
        <v>137</v>
      </c>
      <c r="F2" s="55" t="s">
        <v>138</v>
      </c>
      <c r="G2" s="55" t="s">
        <v>139</v>
      </c>
      <c r="H2" s="54" t="s">
        <v>140</v>
      </c>
    </row>
    <row r="3" spans="2:8" ht="25" customHeight="1">
      <c r="B3" s="64" t="s">
        <v>0</v>
      </c>
      <c r="C3" s="64"/>
      <c r="D3" s="56" t="s">
        <v>1</v>
      </c>
      <c r="E3" s="56" t="s">
        <v>5</v>
      </c>
      <c r="F3" s="56" t="s">
        <v>2</v>
      </c>
      <c r="G3" s="56" t="s">
        <v>3</v>
      </c>
      <c r="H3" s="57" t="s">
        <v>4</v>
      </c>
    </row>
    <row r="4" spans="2:8" ht="53.25" customHeight="1">
      <c r="B4" s="58">
        <v>1</v>
      </c>
      <c r="C4" s="59" t="s">
        <v>144</v>
      </c>
      <c r="D4" s="60">
        <f>'SEGUNDA A DOMINGO 12H DIURNO'!D122</f>
        <v>8128.9760068776322</v>
      </c>
      <c r="E4" s="58">
        <v>2</v>
      </c>
      <c r="F4" s="60">
        <f>D4*E4</f>
        <v>16257.952013755264</v>
      </c>
      <c r="G4" s="58">
        <v>1</v>
      </c>
      <c r="H4" s="60">
        <f>F4*G4</f>
        <v>16257.952013755264</v>
      </c>
    </row>
    <row r="5" spans="2:8" ht="65.150000000000006" customHeight="1">
      <c r="B5" s="58">
        <v>2</v>
      </c>
      <c r="C5" s="59" t="s">
        <v>134</v>
      </c>
      <c r="D5" s="60">
        <f>'SEGUNDA A DOMINGO 12H NOTURNO'!D122</f>
        <v>9066.4102917970722</v>
      </c>
      <c r="E5" s="58">
        <v>2</v>
      </c>
      <c r="F5" s="60">
        <f>D5*E5</f>
        <v>18132.820583594144</v>
      </c>
      <c r="G5" s="58">
        <v>1</v>
      </c>
      <c r="H5" s="60">
        <f>F5*G5</f>
        <v>18132.820583594144</v>
      </c>
    </row>
    <row r="6" spans="2:8" ht="25" customHeight="1">
      <c r="B6" s="65" t="s">
        <v>114</v>
      </c>
      <c r="C6" s="66"/>
      <c r="D6" s="66"/>
      <c r="E6" s="66"/>
      <c r="F6" s="66"/>
      <c r="G6" s="67"/>
      <c r="H6" s="61">
        <f>SUM(H4:H5)</f>
        <v>34390.772597349409</v>
      </c>
    </row>
    <row r="7" spans="2:8" ht="25" customHeight="1">
      <c r="B7" s="65" t="s">
        <v>141</v>
      </c>
      <c r="C7" s="66"/>
      <c r="D7" s="66"/>
      <c r="E7" s="66"/>
      <c r="F7" s="66"/>
      <c r="G7" s="67"/>
      <c r="H7" s="61">
        <f>H6*12</f>
        <v>412689.27116819291</v>
      </c>
    </row>
  </sheetData>
  <sheetProtection algorithmName="SHA-512" hashValue="9KTTcQY3UZ2gXEtojtbQHt9NERY1N11cBxzCWvBAGwaZR2r2atlFIZzG2FzCLzWOKBIDy0qgJpeGhWABw0zC/A==" saltValue="6gMFY3Su5YuKklNPCPkEvA==" spinCount="100000" sheet="1" objects="1" scenarios="1"/>
  <mergeCells count="4">
    <mergeCell ref="B2:C2"/>
    <mergeCell ref="B3:C3"/>
    <mergeCell ref="B6:G6"/>
    <mergeCell ref="B7:G7"/>
  </mergeCells>
  <pageMargins left="0.511811024" right="0.511811024" top="0.78740157499999996" bottom="0.78740157499999996" header="0.31496062000000002" footer="0.31496062000000002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B4D3-E479-4E61-9B83-44A24B8D6EAE}">
  <dimension ref="A1:G122"/>
  <sheetViews>
    <sheetView view="pageBreakPreview" zoomScaleNormal="100" zoomScaleSheetLayoutView="100" workbookViewId="0">
      <selection activeCell="D11" sqref="D11"/>
    </sheetView>
  </sheetViews>
  <sheetFormatPr defaultColWidth="11.54296875" defaultRowHeight="15.5"/>
  <cols>
    <col min="1" max="1" width="8.81640625" style="1" customWidth="1"/>
    <col min="2" max="2" width="49.54296875" style="1" customWidth="1"/>
    <col min="3" max="3" width="17.54296875" style="1" customWidth="1"/>
    <col min="4" max="4" width="34.26953125" style="1" customWidth="1"/>
    <col min="5" max="16384" width="11.54296875" style="1"/>
  </cols>
  <sheetData>
    <row r="1" spans="1:4">
      <c r="A1" s="69" t="s">
        <v>6</v>
      </c>
      <c r="B1" s="69"/>
      <c r="C1" s="69"/>
      <c r="D1" s="69"/>
    </row>
    <row r="4" spans="1:4">
      <c r="A4" s="2" t="s">
        <v>7</v>
      </c>
    </row>
    <row r="5" spans="1:4">
      <c r="A5" s="24" t="s">
        <v>146</v>
      </c>
    </row>
    <row r="6" spans="1:4">
      <c r="A6" s="2" t="s">
        <v>8</v>
      </c>
    </row>
    <row r="7" spans="1:4">
      <c r="A7" s="2" t="s">
        <v>9</v>
      </c>
    </row>
    <row r="8" spans="1:4">
      <c r="A8" s="1" t="s">
        <v>10</v>
      </c>
    </row>
    <row r="9" spans="1:4">
      <c r="A9" s="1" t="s">
        <v>11</v>
      </c>
    </row>
    <row r="10" spans="1:4">
      <c r="A10" s="9">
        <v>1</v>
      </c>
      <c r="B10" s="68" t="s">
        <v>12</v>
      </c>
      <c r="C10" s="68"/>
      <c r="D10" s="10"/>
    </row>
    <row r="11" spans="1:4">
      <c r="A11" s="9">
        <v>2</v>
      </c>
      <c r="B11" s="68" t="s">
        <v>13</v>
      </c>
      <c r="C11" s="68"/>
      <c r="D11" s="9" t="s">
        <v>104</v>
      </c>
    </row>
    <row r="12" spans="1:4">
      <c r="A12" s="9">
        <v>3</v>
      </c>
      <c r="B12" s="68" t="s">
        <v>14</v>
      </c>
      <c r="C12" s="68"/>
      <c r="D12" s="25">
        <v>2370.63</v>
      </c>
    </row>
    <row r="13" spans="1:4">
      <c r="A13" s="9">
        <v>4</v>
      </c>
      <c r="B13" s="68" t="s">
        <v>15</v>
      </c>
      <c r="C13" s="68"/>
      <c r="D13" s="9" t="s">
        <v>105</v>
      </c>
    </row>
    <row r="14" spans="1:4">
      <c r="A14" s="9">
        <v>5</v>
      </c>
      <c r="B14" s="68" t="s">
        <v>16</v>
      </c>
      <c r="C14" s="68"/>
      <c r="D14" s="9" t="s">
        <v>148</v>
      </c>
    </row>
    <row r="15" spans="1:4">
      <c r="A15" s="2"/>
    </row>
    <row r="16" spans="1:4">
      <c r="A16" s="2" t="s">
        <v>17</v>
      </c>
      <c r="B16" s="2"/>
      <c r="C16" s="2"/>
    </row>
    <row r="17" spans="1:6">
      <c r="A17" s="11">
        <v>1</v>
      </c>
      <c r="B17" s="12" t="s">
        <v>18</v>
      </c>
      <c r="C17" s="11"/>
      <c r="D17" s="11" t="s">
        <v>19</v>
      </c>
    </row>
    <row r="18" spans="1:6">
      <c r="A18" s="9" t="s">
        <v>20</v>
      </c>
      <c r="B18" s="10" t="s">
        <v>21</v>
      </c>
      <c r="C18" s="13"/>
      <c r="D18" s="26">
        <v>2370.63</v>
      </c>
      <c r="E18" s="4"/>
      <c r="F18" s="5"/>
    </row>
    <row r="19" spans="1:6">
      <c r="A19" s="9" t="s">
        <v>22</v>
      </c>
      <c r="B19" s="10" t="s">
        <v>23</v>
      </c>
      <c r="C19" s="13"/>
      <c r="D19" s="13">
        <f>D18*30%</f>
        <v>711.18899999999996</v>
      </c>
    </row>
    <row r="20" spans="1:6">
      <c r="A20" s="9" t="s">
        <v>24</v>
      </c>
      <c r="B20" s="10" t="s">
        <v>25</v>
      </c>
      <c r="C20" s="13"/>
      <c r="D20" s="13"/>
    </row>
    <row r="21" spans="1:6">
      <c r="A21" s="9" t="s">
        <v>26</v>
      </c>
      <c r="B21" s="10" t="s">
        <v>27</v>
      </c>
      <c r="C21" s="13"/>
      <c r="D21" s="13"/>
    </row>
    <row r="22" spans="1:6">
      <c r="A22" s="9" t="s">
        <v>28</v>
      </c>
      <c r="B22" s="10" t="s">
        <v>29</v>
      </c>
      <c r="C22" s="13"/>
      <c r="D22" s="13"/>
      <c r="E22" s="4"/>
    </row>
    <row r="23" spans="1:6">
      <c r="A23" s="9" t="s">
        <v>30</v>
      </c>
      <c r="B23" s="10" t="s">
        <v>31</v>
      </c>
      <c r="C23" s="13"/>
      <c r="D23" s="13"/>
    </row>
    <row r="24" spans="1:6">
      <c r="A24" s="11"/>
      <c r="B24" s="11" t="s">
        <v>32</v>
      </c>
      <c r="C24" s="14"/>
      <c r="D24" s="14">
        <f>SUM(D18:D23)</f>
        <v>3081.819</v>
      </c>
    </row>
    <row r="26" spans="1:6">
      <c r="A26" s="2" t="s">
        <v>33</v>
      </c>
      <c r="B26" s="2"/>
      <c r="C26" s="2"/>
    </row>
    <row r="27" spans="1:6">
      <c r="A27" s="2" t="s">
        <v>142</v>
      </c>
      <c r="B27" s="2"/>
      <c r="C27" s="2"/>
    </row>
    <row r="28" spans="1:6">
      <c r="A28" s="11" t="s">
        <v>34</v>
      </c>
      <c r="B28" s="12" t="s">
        <v>35</v>
      </c>
      <c r="C28" s="11"/>
      <c r="D28" s="11" t="s">
        <v>19</v>
      </c>
    </row>
    <row r="29" spans="1:6">
      <c r="A29" s="9" t="s">
        <v>20</v>
      </c>
      <c r="B29" s="10" t="s">
        <v>36</v>
      </c>
      <c r="C29" s="15">
        <f>1/12</f>
        <v>8.3333333333333329E-2</v>
      </c>
      <c r="D29" s="13">
        <f>D24*C29</f>
        <v>256.81824999999998</v>
      </c>
    </row>
    <row r="30" spans="1:6">
      <c r="A30" s="9" t="s">
        <v>22</v>
      </c>
      <c r="B30" s="10" t="s">
        <v>116</v>
      </c>
      <c r="C30" s="15">
        <f>(1/3)/12</f>
        <v>2.7777777777777776E-2</v>
      </c>
      <c r="D30" s="13">
        <f>D24*C30</f>
        <v>85.606083333333331</v>
      </c>
    </row>
    <row r="31" spans="1:6">
      <c r="A31" s="11"/>
      <c r="B31" s="11" t="s">
        <v>32</v>
      </c>
      <c r="C31" s="16">
        <f>SUM(C29:C30)</f>
        <v>0.1111111111111111</v>
      </c>
      <c r="D31" s="14">
        <f>SUM(D29:D30)</f>
        <v>342.42433333333332</v>
      </c>
    </row>
    <row r="33" spans="1:4">
      <c r="A33" s="2" t="s">
        <v>37</v>
      </c>
      <c r="B33" s="2"/>
      <c r="C33" s="2"/>
      <c r="D33" s="2"/>
    </row>
    <row r="34" spans="1:4">
      <c r="A34" s="2" t="s">
        <v>38</v>
      </c>
      <c r="B34" s="2"/>
      <c r="C34" s="2"/>
      <c r="D34" s="2"/>
    </row>
    <row r="35" spans="1:4">
      <c r="A35" s="11" t="s">
        <v>39</v>
      </c>
      <c r="B35" s="12" t="s">
        <v>40</v>
      </c>
      <c r="C35" s="11" t="s">
        <v>41</v>
      </c>
      <c r="D35" s="11" t="s">
        <v>19</v>
      </c>
    </row>
    <row r="36" spans="1:4">
      <c r="A36" s="9" t="s">
        <v>20</v>
      </c>
      <c r="B36" s="10" t="s">
        <v>42</v>
      </c>
      <c r="C36" s="17">
        <v>0.2</v>
      </c>
      <c r="D36" s="13">
        <f>(D24+D31)*C36</f>
        <v>684.84866666666676</v>
      </c>
    </row>
    <row r="37" spans="1:4">
      <c r="A37" s="9" t="s">
        <v>22</v>
      </c>
      <c r="B37" s="10" t="s">
        <v>43</v>
      </c>
      <c r="C37" s="17">
        <v>2.5000000000000001E-2</v>
      </c>
      <c r="D37" s="13">
        <f>(D24+D31)*C37</f>
        <v>85.606083333333345</v>
      </c>
    </row>
    <row r="38" spans="1:4">
      <c r="A38" s="9" t="s">
        <v>24</v>
      </c>
      <c r="B38" s="10" t="s">
        <v>44</v>
      </c>
      <c r="C38" s="17">
        <v>0.03</v>
      </c>
      <c r="D38" s="13">
        <f>(D24+D31)*C38</f>
        <v>102.7273</v>
      </c>
    </row>
    <row r="39" spans="1:4">
      <c r="A39" s="9" t="s">
        <v>26</v>
      </c>
      <c r="B39" s="10" t="s">
        <v>45</v>
      </c>
      <c r="C39" s="17">
        <v>1.4999999999999999E-2</v>
      </c>
      <c r="D39" s="13">
        <f>(D24+D31)*C39</f>
        <v>51.36365</v>
      </c>
    </row>
    <row r="40" spans="1:4">
      <c r="A40" s="9" t="s">
        <v>28</v>
      </c>
      <c r="B40" s="10" t="s">
        <v>46</v>
      </c>
      <c r="C40" s="17">
        <v>0.01</v>
      </c>
      <c r="D40" s="13">
        <f>(D24+D31)*C40</f>
        <v>34.242433333333331</v>
      </c>
    </row>
    <row r="41" spans="1:4">
      <c r="A41" s="9" t="s">
        <v>30</v>
      </c>
      <c r="B41" s="10" t="s">
        <v>47</v>
      </c>
      <c r="C41" s="17">
        <v>6.0000000000000001E-3</v>
      </c>
      <c r="D41" s="13">
        <f>(D24+D31)*C41</f>
        <v>20.545460000000002</v>
      </c>
    </row>
    <row r="42" spans="1:4">
      <c r="A42" s="9" t="s">
        <v>48</v>
      </c>
      <c r="B42" s="10" t="s">
        <v>49</v>
      </c>
      <c r="C42" s="17">
        <v>2E-3</v>
      </c>
      <c r="D42" s="13">
        <f>(D24+D31)*C42</f>
        <v>6.8484866666666671</v>
      </c>
    </row>
    <row r="43" spans="1:4">
      <c r="A43" s="9" t="s">
        <v>50</v>
      </c>
      <c r="B43" s="10" t="s">
        <v>51</v>
      </c>
      <c r="C43" s="17">
        <v>0.08</v>
      </c>
      <c r="D43" s="13">
        <f>(D24+D31)*C43</f>
        <v>273.93946666666665</v>
      </c>
    </row>
    <row r="44" spans="1:4">
      <c r="A44" s="12"/>
      <c r="B44" s="11" t="s">
        <v>32</v>
      </c>
      <c r="C44" s="18">
        <f>SUM(C36:C43)</f>
        <v>0.36800000000000005</v>
      </c>
      <c r="D44" s="14">
        <f>SUM(D36:D43)</f>
        <v>1260.1215466666667</v>
      </c>
    </row>
    <row r="46" spans="1:4">
      <c r="A46" s="2" t="s">
        <v>52</v>
      </c>
      <c r="B46" s="2"/>
      <c r="C46" s="2"/>
      <c r="D46" s="2"/>
    </row>
    <row r="47" spans="1:4">
      <c r="A47" s="11" t="s">
        <v>53</v>
      </c>
      <c r="B47" s="12" t="s">
        <v>54</v>
      </c>
      <c r="C47" s="12"/>
      <c r="D47" s="11" t="s">
        <v>19</v>
      </c>
    </row>
    <row r="48" spans="1:4">
      <c r="A48" s="9" t="s">
        <v>20</v>
      </c>
      <c r="B48" s="10" t="s">
        <v>55</v>
      </c>
      <c r="C48" s="10"/>
      <c r="D48" s="13">
        <f>(2*15*6)-(6%*D18)</f>
        <v>37.762200000000007</v>
      </c>
    </row>
    <row r="49" spans="1:4">
      <c r="A49" s="9" t="s">
        <v>22</v>
      </c>
      <c r="B49" s="10" t="s">
        <v>56</v>
      </c>
      <c r="C49" s="27">
        <v>52.09</v>
      </c>
      <c r="D49" s="13">
        <f>(C49*15)*80%</f>
        <v>625.08000000000004</v>
      </c>
    </row>
    <row r="50" spans="1:4">
      <c r="A50" s="9" t="s">
        <v>24</v>
      </c>
      <c r="B50" s="10" t="s">
        <v>57</v>
      </c>
      <c r="C50" s="10"/>
      <c r="D50" s="13">
        <v>124.7</v>
      </c>
    </row>
    <row r="51" spans="1:4">
      <c r="A51" s="9" t="s">
        <v>26</v>
      </c>
      <c r="B51" s="10" t="s">
        <v>115</v>
      </c>
      <c r="C51" s="10"/>
      <c r="D51" s="13">
        <v>10.039999999999999</v>
      </c>
    </row>
    <row r="52" spans="1:4">
      <c r="A52" s="9" t="s">
        <v>28</v>
      </c>
      <c r="B52" s="10" t="s">
        <v>100</v>
      </c>
      <c r="C52" s="10"/>
      <c r="D52" s="13">
        <v>35</v>
      </c>
    </row>
    <row r="53" spans="1:4">
      <c r="A53" s="9" t="s">
        <v>30</v>
      </c>
      <c r="B53" s="10" t="s">
        <v>143</v>
      </c>
      <c r="C53" s="10"/>
      <c r="D53" s="13">
        <f>((C49*15)*80%)/12</f>
        <v>52.09</v>
      </c>
    </row>
    <row r="54" spans="1:4">
      <c r="A54" s="12"/>
      <c r="B54" s="11" t="s">
        <v>32</v>
      </c>
      <c r="C54" s="12"/>
      <c r="D54" s="14">
        <f>SUM(D48:D53)</f>
        <v>884.67220000000009</v>
      </c>
    </row>
    <row r="56" spans="1:4">
      <c r="A56" s="2" t="s">
        <v>58</v>
      </c>
      <c r="B56" s="2"/>
      <c r="C56" s="2"/>
      <c r="D56" s="2"/>
    </row>
    <row r="57" spans="1:4">
      <c r="A57" s="11">
        <v>2</v>
      </c>
      <c r="B57" s="12" t="s">
        <v>59</v>
      </c>
      <c r="C57" s="12"/>
      <c r="D57" s="11" t="s">
        <v>19</v>
      </c>
    </row>
    <row r="58" spans="1:4">
      <c r="A58" s="9" t="s">
        <v>34</v>
      </c>
      <c r="B58" s="10" t="s">
        <v>35</v>
      </c>
      <c r="C58" s="10"/>
      <c r="D58" s="13">
        <f>D31</f>
        <v>342.42433333333332</v>
      </c>
    </row>
    <row r="59" spans="1:4">
      <c r="A59" s="9" t="s">
        <v>39</v>
      </c>
      <c r="B59" s="10" t="s">
        <v>40</v>
      </c>
      <c r="C59" s="10"/>
      <c r="D59" s="13">
        <f>D44</f>
        <v>1260.1215466666667</v>
      </c>
    </row>
    <row r="60" spans="1:4">
      <c r="A60" s="9" t="s">
        <v>53</v>
      </c>
      <c r="B60" s="10" t="s">
        <v>54</v>
      </c>
      <c r="C60" s="10"/>
      <c r="D60" s="13">
        <f>D54</f>
        <v>884.67220000000009</v>
      </c>
    </row>
    <row r="61" spans="1:4">
      <c r="A61" s="19"/>
      <c r="B61" s="11" t="s">
        <v>32</v>
      </c>
      <c r="C61" s="12"/>
      <c r="D61" s="14">
        <f>SUM(D58:D60)</f>
        <v>2487.2180800000001</v>
      </c>
    </row>
    <row r="63" spans="1:4">
      <c r="A63" s="2" t="s">
        <v>60</v>
      </c>
      <c r="B63" s="2"/>
      <c r="C63" s="2"/>
      <c r="D63" s="2"/>
    </row>
    <row r="64" spans="1:4">
      <c r="A64" s="11">
        <v>3</v>
      </c>
      <c r="B64" s="12" t="s">
        <v>61</v>
      </c>
      <c r="C64" s="11" t="s">
        <v>41</v>
      </c>
      <c r="D64" s="11" t="s">
        <v>19</v>
      </c>
    </row>
    <row r="65" spans="1:4" ht="16.5" customHeight="1">
      <c r="A65" s="9" t="s">
        <v>20</v>
      </c>
      <c r="B65" s="10" t="s">
        <v>62</v>
      </c>
      <c r="C65" s="17">
        <f>((1/12)*0.05)*100%</f>
        <v>4.1666666666666666E-3</v>
      </c>
      <c r="D65" s="13">
        <f>(D24)*C65</f>
        <v>12.8409125</v>
      </c>
    </row>
    <row r="66" spans="1:4">
      <c r="A66" s="9" t="s">
        <v>22</v>
      </c>
      <c r="B66" s="10" t="s">
        <v>63</v>
      </c>
      <c r="C66" s="20">
        <f>8%*C65</f>
        <v>3.3333333333333332E-4</v>
      </c>
      <c r="D66" s="13">
        <f>(D24)*C66</f>
        <v>1.0272729999999999</v>
      </c>
    </row>
    <row r="67" spans="1:4" ht="16.5" customHeight="1">
      <c r="A67" s="9" t="s">
        <v>24</v>
      </c>
      <c r="B67" s="10" t="s">
        <v>97</v>
      </c>
      <c r="C67" s="17">
        <f>((1+2/12+(1/3*1/12))*0.08*0.4*0.9)</f>
        <v>3.4400000000000007E-2</v>
      </c>
      <c r="D67" s="13">
        <f>(D24)*C67</f>
        <v>106.01457360000002</v>
      </c>
    </row>
    <row r="68" spans="1:4" ht="16.5" customHeight="1">
      <c r="A68" s="9" t="s">
        <v>26</v>
      </c>
      <c r="B68" s="10" t="s">
        <v>95</v>
      </c>
      <c r="C68" s="17">
        <f>(1/30*7)/12</f>
        <v>1.9444444444444445E-2</v>
      </c>
      <c r="D68" s="13">
        <f>(D24)*C68</f>
        <v>59.924258333333334</v>
      </c>
    </row>
    <row r="69" spans="1:4" ht="31">
      <c r="A69" s="21" t="s">
        <v>28</v>
      </c>
      <c r="B69" s="22" t="s">
        <v>96</v>
      </c>
      <c r="C69" s="23">
        <f>C68*C44</f>
        <v>7.1555555555555565E-3</v>
      </c>
      <c r="D69" s="13">
        <f>(D24)*C69</f>
        <v>22.052127066666671</v>
      </c>
    </row>
    <row r="70" spans="1:4" ht="16.5" customHeight="1">
      <c r="A70" s="9" t="s">
        <v>30</v>
      </c>
      <c r="B70" s="10" t="s">
        <v>64</v>
      </c>
      <c r="C70" s="20">
        <f>C68*0.08*0.4</f>
        <v>6.2222222222222236E-4</v>
      </c>
      <c r="D70" s="13">
        <f>(D24)*C70</f>
        <v>1.9175762666666671</v>
      </c>
    </row>
    <row r="71" spans="1:4">
      <c r="A71" s="12"/>
      <c r="B71" s="11" t="s">
        <v>32</v>
      </c>
      <c r="C71" s="18">
        <f>SUM(C65:C70)</f>
        <v>6.6122222222222221E-2</v>
      </c>
      <c r="D71" s="14">
        <f>SUM(D65:D70)</f>
        <v>203.77672076666667</v>
      </c>
    </row>
    <row r="72" spans="1:4">
      <c r="A72" s="2"/>
      <c r="B72" s="6"/>
      <c r="C72" s="7"/>
      <c r="D72" s="8"/>
    </row>
    <row r="73" spans="1:4">
      <c r="A73" s="2" t="s">
        <v>65</v>
      </c>
      <c r="B73" s="2"/>
      <c r="C73" s="2"/>
      <c r="D73" s="2"/>
    </row>
    <row r="74" spans="1:4">
      <c r="A74" s="2" t="s">
        <v>66</v>
      </c>
      <c r="B74" s="2"/>
      <c r="C74" s="2"/>
      <c r="D74" s="2"/>
    </row>
    <row r="75" spans="1:4">
      <c r="A75" s="11" t="s">
        <v>67</v>
      </c>
      <c r="B75" s="12" t="s">
        <v>68</v>
      </c>
      <c r="C75" s="11" t="s">
        <v>41</v>
      </c>
      <c r="D75" s="11" t="s">
        <v>19</v>
      </c>
    </row>
    <row r="76" spans="1:4">
      <c r="A76" s="9" t="s">
        <v>20</v>
      </c>
      <c r="B76" s="10" t="s">
        <v>69</v>
      </c>
      <c r="C76" s="17">
        <f>(1/12)</f>
        <v>8.3333333333333329E-2</v>
      </c>
      <c r="D76" s="13">
        <f>(D24)*C76</f>
        <v>256.81824999999998</v>
      </c>
    </row>
    <row r="77" spans="1:4">
      <c r="A77" s="9" t="s">
        <v>22</v>
      </c>
      <c r="B77" s="10" t="s">
        <v>70</v>
      </c>
      <c r="C77" s="17">
        <f>(8/30)/12</f>
        <v>2.2222222222222223E-2</v>
      </c>
      <c r="D77" s="13">
        <f>(D24)*C77</f>
        <v>68.484866666666662</v>
      </c>
    </row>
    <row r="78" spans="1:4">
      <c r="A78" s="9" t="s">
        <v>24</v>
      </c>
      <c r="B78" s="10" t="s">
        <v>71</v>
      </c>
      <c r="C78" s="17">
        <f>((20/30)/12)*(1.416%)*45.22%</f>
        <v>3.557306666666666E-4</v>
      </c>
      <c r="D78" s="13">
        <f>(D24)*C78</f>
        <v>1.0962975274159998</v>
      </c>
    </row>
    <row r="79" spans="1:4">
      <c r="A79" s="9" t="s">
        <v>26</v>
      </c>
      <c r="B79" s="10" t="s">
        <v>72</v>
      </c>
      <c r="C79" s="17">
        <f>(15/365)*8%</f>
        <v>3.2876712328767121E-3</v>
      </c>
      <c r="D79" s="13">
        <f>(D24)*C79</f>
        <v>10.132007671232875</v>
      </c>
    </row>
    <row r="80" spans="1:4">
      <c r="A80" s="9" t="s">
        <v>28</v>
      </c>
      <c r="B80" s="10" t="s">
        <v>94</v>
      </c>
      <c r="C80" s="17">
        <f>0.121*0.03*((4/12))</f>
        <v>1.2099999999999997E-3</v>
      </c>
      <c r="D80" s="13">
        <f>(D24)*C80</f>
        <v>3.729000989999999</v>
      </c>
    </row>
    <row r="81" spans="1:7">
      <c r="A81" s="9" t="s">
        <v>30</v>
      </c>
      <c r="B81" s="10" t="s">
        <v>73</v>
      </c>
      <c r="C81" s="17">
        <v>5.9999999999999995E-4</v>
      </c>
      <c r="D81" s="13">
        <f>$D$24*C81</f>
        <v>1.8490913999999998</v>
      </c>
      <c r="E81" s="3"/>
      <c r="F81" s="3"/>
      <c r="G81" s="3"/>
    </row>
    <row r="82" spans="1:7">
      <c r="A82" s="11"/>
      <c r="B82" s="11" t="s">
        <v>32</v>
      </c>
      <c r="C82" s="18">
        <f>SUM(C76:C81)</f>
        <v>0.11100895745509894</v>
      </c>
      <c r="D82" s="14">
        <f>SUM(D76:D81)</f>
        <v>342.10951425531556</v>
      </c>
    </row>
    <row r="84" spans="1:7">
      <c r="A84" s="2" t="s">
        <v>75</v>
      </c>
    </row>
    <row r="85" spans="1:7">
      <c r="A85" s="11" t="s">
        <v>76</v>
      </c>
      <c r="B85" s="12" t="s">
        <v>77</v>
      </c>
      <c r="C85" s="12"/>
      <c r="D85" s="11" t="s">
        <v>19</v>
      </c>
    </row>
    <row r="86" spans="1:7">
      <c r="A86" s="9" t="s">
        <v>20</v>
      </c>
      <c r="B86" s="10" t="s">
        <v>78</v>
      </c>
      <c r="C86" s="15"/>
      <c r="D86" s="13">
        <f>(D24/220)*1.5*15</f>
        <v>315.18603409090906</v>
      </c>
      <c r="E86" s="28"/>
    </row>
    <row r="87" spans="1:7">
      <c r="A87" s="12"/>
      <c r="B87" s="11" t="s">
        <v>32</v>
      </c>
      <c r="C87" s="12"/>
      <c r="D87" s="14">
        <f>D86</f>
        <v>315.18603409090906</v>
      </c>
    </row>
    <row r="89" spans="1:7">
      <c r="A89" s="2" t="s">
        <v>79</v>
      </c>
      <c r="B89" s="2"/>
      <c r="C89" s="2"/>
      <c r="D89" s="2"/>
    </row>
    <row r="90" spans="1:7">
      <c r="A90" s="11">
        <v>4</v>
      </c>
      <c r="B90" s="12" t="s">
        <v>80</v>
      </c>
      <c r="C90" s="12"/>
      <c r="D90" s="11" t="s">
        <v>19</v>
      </c>
    </row>
    <row r="91" spans="1:7">
      <c r="A91" s="9" t="s">
        <v>67</v>
      </c>
      <c r="B91" s="10" t="s">
        <v>81</v>
      </c>
      <c r="C91" s="10"/>
      <c r="D91" s="13">
        <f>D82</f>
        <v>342.10951425531556</v>
      </c>
    </row>
    <row r="92" spans="1:7">
      <c r="A92" s="9" t="s">
        <v>76</v>
      </c>
      <c r="B92" s="10" t="s">
        <v>77</v>
      </c>
      <c r="C92" s="10"/>
      <c r="D92" s="13">
        <f>D87</f>
        <v>315.18603409090906</v>
      </c>
    </row>
    <row r="93" spans="1:7">
      <c r="A93" s="12"/>
      <c r="B93" s="11" t="s">
        <v>32</v>
      </c>
      <c r="C93" s="12"/>
      <c r="D93" s="14">
        <f>SUM(D91:D92)</f>
        <v>657.29554834622468</v>
      </c>
    </row>
    <row r="95" spans="1:7">
      <c r="A95" s="2" t="s">
        <v>82</v>
      </c>
      <c r="B95" s="2"/>
      <c r="C95" s="2"/>
      <c r="D95" s="2"/>
    </row>
    <row r="96" spans="1:7">
      <c r="A96" s="11">
        <v>5</v>
      </c>
      <c r="B96" s="12" t="s">
        <v>83</v>
      </c>
      <c r="C96" s="12"/>
      <c r="D96" s="11" t="s">
        <v>19</v>
      </c>
    </row>
    <row r="97" spans="1:4">
      <c r="A97" s="9" t="s">
        <v>20</v>
      </c>
      <c r="B97" s="10" t="s">
        <v>145</v>
      </c>
      <c r="C97" s="10"/>
      <c r="D97" s="13">
        <f>' Insumos '!F25</f>
        <v>0</v>
      </c>
    </row>
    <row r="98" spans="1:4">
      <c r="A98" s="9" t="s">
        <v>22</v>
      </c>
      <c r="B98" s="10" t="s">
        <v>113</v>
      </c>
      <c r="C98" s="10"/>
      <c r="D98" s="13"/>
    </row>
    <row r="99" spans="1:4">
      <c r="A99" s="9" t="s">
        <v>24</v>
      </c>
      <c r="B99" s="10" t="s">
        <v>111</v>
      </c>
      <c r="C99" s="10"/>
      <c r="D99" s="13">
        <f>' Insumos '!F16</f>
        <v>179.40666666666667</v>
      </c>
    </row>
    <row r="100" spans="1:4">
      <c r="A100" s="9" t="s">
        <v>26</v>
      </c>
      <c r="B100" s="10" t="s">
        <v>31</v>
      </c>
      <c r="C100" s="10"/>
      <c r="D100" s="13"/>
    </row>
    <row r="101" spans="1:4">
      <c r="A101" s="12"/>
      <c r="B101" s="11" t="s">
        <v>32</v>
      </c>
      <c r="C101" s="12"/>
      <c r="D101" s="14">
        <f>SUM(D97:D100)</f>
        <v>179.40666666666667</v>
      </c>
    </row>
    <row r="103" spans="1:4">
      <c r="A103" s="2" t="s">
        <v>84</v>
      </c>
      <c r="B103" s="2"/>
      <c r="C103" s="2"/>
      <c r="D103" s="2"/>
    </row>
    <row r="104" spans="1:4">
      <c r="A104" s="11">
        <v>6</v>
      </c>
      <c r="B104" s="12" t="s">
        <v>85</v>
      </c>
      <c r="C104" s="11" t="s">
        <v>41</v>
      </c>
      <c r="D104" s="11" t="s">
        <v>19</v>
      </c>
    </row>
    <row r="105" spans="1:4">
      <c r="A105" s="9" t="s">
        <v>20</v>
      </c>
      <c r="B105" s="10" t="s">
        <v>86</v>
      </c>
      <c r="C105" s="17">
        <v>0.06</v>
      </c>
      <c r="D105" s="13">
        <f>D120*C105</f>
        <v>396.57096094677348</v>
      </c>
    </row>
    <row r="106" spans="1:4">
      <c r="A106" s="9" t="s">
        <v>22</v>
      </c>
      <c r="B106" s="10" t="s">
        <v>87</v>
      </c>
      <c r="C106" s="17">
        <v>6.7900000000000002E-2</v>
      </c>
      <c r="D106" s="13">
        <f>(D120+D105)*C106</f>
        <v>475.71330571971788</v>
      </c>
    </row>
    <row r="107" spans="1:4">
      <c r="A107" s="9" t="s">
        <v>24</v>
      </c>
      <c r="B107" s="10" t="s">
        <v>88</v>
      </c>
      <c r="C107" s="17"/>
      <c r="D107" s="13"/>
    </row>
    <row r="108" spans="1:4">
      <c r="A108" s="9"/>
      <c r="B108" s="10" t="s">
        <v>103</v>
      </c>
      <c r="C108" s="17">
        <v>6.4999999999999997E-3</v>
      </c>
      <c r="D108" s="13">
        <f>(($D$120+$D$105+$D$106)/(1-$C$107))*C108</f>
        <v>48.631701835899314</v>
      </c>
    </row>
    <row r="109" spans="1:4">
      <c r="A109" s="9"/>
      <c r="B109" s="10" t="s">
        <v>101</v>
      </c>
      <c r="C109" s="17">
        <v>0.03</v>
      </c>
      <c r="D109" s="13">
        <f>(($D$120+$D$105+$D$106)/(1-$C$107))*C109</f>
        <v>224.45400847338146</v>
      </c>
    </row>
    <row r="110" spans="1:4">
      <c r="A110" s="9"/>
      <c r="B110" s="10" t="s">
        <v>102</v>
      </c>
      <c r="C110" s="17">
        <v>0.05</v>
      </c>
      <c r="D110" s="13">
        <f>(($D$120+$D$105+$D$106)/(1-$C$107))*C110</f>
        <v>374.09001412230248</v>
      </c>
    </row>
    <row r="111" spans="1:4">
      <c r="A111" s="12"/>
      <c r="B111" s="11" t="s">
        <v>32</v>
      </c>
      <c r="C111" s="18">
        <f>(C105+C106+C107+C108+C109+C110)</f>
        <v>0.21440000000000003</v>
      </c>
      <c r="D111" s="14">
        <f>SUM(D105:D110)</f>
        <v>1519.4599910980746</v>
      </c>
    </row>
    <row r="113" spans="1:4">
      <c r="A113" s="2" t="s">
        <v>89</v>
      </c>
      <c r="B113" s="2"/>
      <c r="C113" s="2"/>
      <c r="D113" s="2"/>
    </row>
    <row r="114" spans="1:4">
      <c r="A114" s="11"/>
      <c r="B114" s="12" t="s">
        <v>90</v>
      </c>
      <c r="C114" s="12"/>
      <c r="D114" s="11" t="s">
        <v>19</v>
      </c>
    </row>
    <row r="115" spans="1:4">
      <c r="A115" s="9" t="s">
        <v>20</v>
      </c>
      <c r="B115" s="10" t="s">
        <v>17</v>
      </c>
      <c r="C115" s="10"/>
      <c r="D115" s="13">
        <f>D24</f>
        <v>3081.819</v>
      </c>
    </row>
    <row r="116" spans="1:4">
      <c r="A116" s="9" t="s">
        <v>22</v>
      </c>
      <c r="B116" s="10" t="s">
        <v>33</v>
      </c>
      <c r="C116" s="10"/>
      <c r="D116" s="13">
        <f>D61</f>
        <v>2487.2180800000001</v>
      </c>
    </row>
    <row r="117" spans="1:4">
      <c r="A117" s="9" t="s">
        <v>24</v>
      </c>
      <c r="B117" s="10" t="s">
        <v>60</v>
      </c>
      <c r="C117" s="10"/>
      <c r="D117" s="13">
        <f>D71</f>
        <v>203.77672076666667</v>
      </c>
    </row>
    <row r="118" spans="1:4">
      <c r="A118" s="9" t="s">
        <v>26</v>
      </c>
      <c r="B118" s="10" t="s">
        <v>65</v>
      </c>
      <c r="C118" s="10"/>
      <c r="D118" s="13">
        <f>D93</f>
        <v>657.29554834622468</v>
      </c>
    </row>
    <row r="119" spans="1:4">
      <c r="A119" s="9" t="s">
        <v>28</v>
      </c>
      <c r="B119" s="10" t="s">
        <v>91</v>
      </c>
      <c r="C119" s="10"/>
      <c r="D119" s="13">
        <f>D101</f>
        <v>179.40666666666667</v>
      </c>
    </row>
    <row r="120" spans="1:4">
      <c r="A120" s="11"/>
      <c r="B120" s="11" t="s">
        <v>92</v>
      </c>
      <c r="C120" s="12"/>
      <c r="D120" s="14">
        <f>SUM(D115:D119)</f>
        <v>6609.5160157795581</v>
      </c>
    </row>
    <row r="121" spans="1:4">
      <c r="A121" s="9" t="s">
        <v>30</v>
      </c>
      <c r="B121" s="10" t="s">
        <v>84</v>
      </c>
      <c r="C121" s="10"/>
      <c r="D121" s="13">
        <f>D111</f>
        <v>1519.4599910980746</v>
      </c>
    </row>
    <row r="122" spans="1:4">
      <c r="A122" s="11"/>
      <c r="B122" s="11" t="s">
        <v>93</v>
      </c>
      <c r="C122" s="12"/>
      <c r="D122" s="14">
        <f>D120+D121</f>
        <v>8128.9760068776322</v>
      </c>
    </row>
  </sheetData>
  <sheetProtection selectLockedCells="1" selectUnlockedCells="1"/>
  <mergeCells count="6">
    <mergeCell ref="B14:C14"/>
    <mergeCell ref="A1:D1"/>
    <mergeCell ref="B10:C10"/>
    <mergeCell ref="B11:C11"/>
    <mergeCell ref="B12:C12"/>
    <mergeCell ref="B13:C13"/>
  </mergeCells>
  <pageMargins left="0.78740157480314965" right="0.39370078740157483" top="0.39370078740157483" bottom="0.39370078740157483" header="0.51181102362204722" footer="0.51181102362204722"/>
  <pageSetup paperSize="9" scale="80" orientation="portrait" horizontalDpi="300" verticalDpi="300" r:id="rId1"/>
  <headerFooter alignWithMargins="0"/>
  <rowBreaks count="1" manualBreakCount="1">
    <brk id="62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C4C8-23F9-4801-9E95-0B23D6689958}">
  <dimension ref="A1:F122"/>
  <sheetViews>
    <sheetView view="pageBreakPreview" zoomScaleNormal="100" zoomScaleSheetLayoutView="100" workbookViewId="0">
      <selection activeCell="D11" sqref="D11"/>
    </sheetView>
  </sheetViews>
  <sheetFormatPr defaultColWidth="11.54296875" defaultRowHeight="15.5"/>
  <cols>
    <col min="1" max="1" width="8.81640625" style="1" customWidth="1"/>
    <col min="2" max="2" width="49.54296875" style="1" customWidth="1"/>
    <col min="3" max="3" width="17.54296875" style="1" customWidth="1"/>
    <col min="4" max="4" width="34.26953125" style="1" customWidth="1"/>
    <col min="5" max="16384" width="11.54296875" style="1"/>
  </cols>
  <sheetData>
    <row r="1" spans="1:4">
      <c r="A1" s="69" t="s">
        <v>6</v>
      </c>
      <c r="B1" s="69"/>
      <c r="C1" s="69"/>
      <c r="D1" s="69"/>
    </row>
    <row r="4" spans="1:4">
      <c r="A4" s="2" t="s">
        <v>7</v>
      </c>
    </row>
    <row r="5" spans="1:4">
      <c r="A5" s="24" t="s">
        <v>147</v>
      </c>
    </row>
    <row r="6" spans="1:4">
      <c r="A6" s="2" t="s">
        <v>8</v>
      </c>
    </row>
    <row r="7" spans="1:4">
      <c r="A7" s="2" t="s">
        <v>9</v>
      </c>
    </row>
    <row r="8" spans="1:4">
      <c r="A8" s="1" t="s">
        <v>10</v>
      </c>
    </row>
    <row r="9" spans="1:4">
      <c r="A9" s="1" t="s">
        <v>11</v>
      </c>
    </row>
    <row r="10" spans="1:4">
      <c r="A10" s="9">
        <v>1</v>
      </c>
      <c r="B10" s="68" t="s">
        <v>12</v>
      </c>
      <c r="C10" s="68"/>
      <c r="D10" s="10"/>
    </row>
    <row r="11" spans="1:4">
      <c r="A11" s="9">
        <v>2</v>
      </c>
      <c r="B11" s="68" t="s">
        <v>13</v>
      </c>
      <c r="C11" s="68"/>
      <c r="D11" s="9" t="s">
        <v>104</v>
      </c>
    </row>
    <row r="12" spans="1:4">
      <c r="A12" s="9">
        <v>3</v>
      </c>
      <c r="B12" s="68" t="s">
        <v>14</v>
      </c>
      <c r="C12" s="68"/>
      <c r="D12" s="25">
        <v>2370.63</v>
      </c>
    </row>
    <row r="13" spans="1:4">
      <c r="A13" s="9">
        <v>4</v>
      </c>
      <c r="B13" s="68" t="s">
        <v>15</v>
      </c>
      <c r="C13" s="68"/>
      <c r="D13" s="9" t="s">
        <v>105</v>
      </c>
    </row>
    <row r="14" spans="1:4">
      <c r="A14" s="9">
        <v>5</v>
      </c>
      <c r="B14" s="68" t="s">
        <v>16</v>
      </c>
      <c r="C14" s="68"/>
      <c r="D14" s="9" t="s">
        <v>148</v>
      </c>
    </row>
    <row r="15" spans="1:4">
      <c r="A15" s="2"/>
    </row>
    <row r="16" spans="1:4">
      <c r="A16" s="2" t="s">
        <v>17</v>
      </c>
      <c r="B16" s="2"/>
      <c r="C16" s="2"/>
    </row>
    <row r="17" spans="1:5">
      <c r="A17" s="11">
        <v>1</v>
      </c>
      <c r="B17" s="12" t="s">
        <v>18</v>
      </c>
      <c r="C17" s="11"/>
      <c r="D17" s="11" t="s">
        <v>19</v>
      </c>
    </row>
    <row r="18" spans="1:5">
      <c r="A18" s="9" t="s">
        <v>20</v>
      </c>
      <c r="B18" s="10" t="s">
        <v>21</v>
      </c>
      <c r="C18" s="13"/>
      <c r="D18" s="26">
        <v>2370.63</v>
      </c>
      <c r="E18" s="5"/>
    </row>
    <row r="19" spans="1:5">
      <c r="A19" s="9" t="s">
        <v>22</v>
      </c>
      <c r="B19" s="10" t="s">
        <v>23</v>
      </c>
      <c r="C19" s="13"/>
      <c r="D19" s="13">
        <f>D18*30%</f>
        <v>711.18899999999996</v>
      </c>
    </row>
    <row r="20" spans="1:5">
      <c r="A20" s="9" t="s">
        <v>24</v>
      </c>
      <c r="B20" s="10" t="s">
        <v>25</v>
      </c>
      <c r="C20" s="13"/>
      <c r="D20" s="13"/>
    </row>
    <row r="21" spans="1:5">
      <c r="A21" s="9" t="s">
        <v>26</v>
      </c>
      <c r="B21" s="10" t="s">
        <v>27</v>
      </c>
      <c r="C21" s="13"/>
      <c r="D21" s="13">
        <f>(D18+D19)/220*20%*137.13</f>
        <v>384.19076315454544</v>
      </c>
      <c r="E21" s="28"/>
    </row>
    <row r="22" spans="1:5">
      <c r="A22" s="9" t="s">
        <v>28</v>
      </c>
      <c r="B22" s="10" t="s">
        <v>29</v>
      </c>
      <c r="C22" s="13"/>
      <c r="D22" s="13"/>
    </row>
    <row r="23" spans="1:5">
      <c r="A23" s="9" t="s">
        <v>30</v>
      </c>
      <c r="B23" s="10" t="s">
        <v>31</v>
      </c>
      <c r="C23" s="13"/>
      <c r="D23" s="13"/>
    </row>
    <row r="24" spans="1:5">
      <c r="A24" s="11"/>
      <c r="B24" s="11" t="s">
        <v>32</v>
      </c>
      <c r="C24" s="14"/>
      <c r="D24" s="14">
        <f>SUM(D18:D23)</f>
        <v>3466.0097631545455</v>
      </c>
    </row>
    <row r="26" spans="1:5">
      <c r="A26" s="2" t="s">
        <v>33</v>
      </c>
      <c r="B26" s="2"/>
      <c r="C26" s="2"/>
    </row>
    <row r="27" spans="1:5">
      <c r="A27" s="2" t="s">
        <v>142</v>
      </c>
      <c r="B27" s="2"/>
      <c r="C27" s="2"/>
    </row>
    <row r="28" spans="1:5">
      <c r="A28" s="11" t="s">
        <v>34</v>
      </c>
      <c r="B28" s="12" t="s">
        <v>35</v>
      </c>
      <c r="C28" s="11"/>
      <c r="D28" s="11" t="s">
        <v>19</v>
      </c>
    </row>
    <row r="29" spans="1:5">
      <c r="A29" s="9" t="s">
        <v>20</v>
      </c>
      <c r="B29" s="10" t="s">
        <v>36</v>
      </c>
      <c r="C29" s="15">
        <f>1/12</f>
        <v>8.3333333333333329E-2</v>
      </c>
      <c r="D29" s="13">
        <f>D24*C29</f>
        <v>288.83414692954545</v>
      </c>
    </row>
    <row r="30" spans="1:5">
      <c r="A30" s="9" t="s">
        <v>22</v>
      </c>
      <c r="B30" s="10" t="s">
        <v>116</v>
      </c>
      <c r="C30" s="15">
        <f>(1/3)/12</f>
        <v>2.7777777777777776E-2</v>
      </c>
      <c r="D30" s="13">
        <f>D24*C30</f>
        <v>96.278048976515151</v>
      </c>
    </row>
    <row r="31" spans="1:5">
      <c r="A31" s="11"/>
      <c r="B31" s="11" t="s">
        <v>32</v>
      </c>
      <c r="C31" s="16">
        <f>SUM(C29:C30)</f>
        <v>0.1111111111111111</v>
      </c>
      <c r="D31" s="14">
        <f>SUM(D29:D30)</f>
        <v>385.11219590606061</v>
      </c>
    </row>
    <row r="33" spans="1:4">
      <c r="A33" s="2" t="s">
        <v>37</v>
      </c>
      <c r="B33" s="2"/>
      <c r="C33" s="2"/>
      <c r="D33" s="2"/>
    </row>
    <row r="34" spans="1:4">
      <c r="A34" s="2" t="s">
        <v>38</v>
      </c>
      <c r="B34" s="2"/>
      <c r="C34" s="2"/>
      <c r="D34" s="2"/>
    </row>
    <row r="35" spans="1:4">
      <c r="A35" s="11" t="s">
        <v>39</v>
      </c>
      <c r="B35" s="12" t="s">
        <v>40</v>
      </c>
      <c r="C35" s="11" t="s">
        <v>41</v>
      </c>
      <c r="D35" s="11" t="s">
        <v>19</v>
      </c>
    </row>
    <row r="36" spans="1:4">
      <c r="A36" s="9" t="s">
        <v>20</v>
      </c>
      <c r="B36" s="10" t="s">
        <v>42</v>
      </c>
      <c r="C36" s="17">
        <v>0.2</v>
      </c>
      <c r="D36" s="13">
        <f>(D24+D31)*C36</f>
        <v>770.22439181212121</v>
      </c>
    </row>
    <row r="37" spans="1:4">
      <c r="A37" s="9" t="s">
        <v>22</v>
      </c>
      <c r="B37" s="10" t="s">
        <v>43</v>
      </c>
      <c r="C37" s="17">
        <v>2.5000000000000001E-2</v>
      </c>
      <c r="D37" s="13">
        <f>(D24+D31)*C37</f>
        <v>96.278048976515151</v>
      </c>
    </row>
    <row r="38" spans="1:4">
      <c r="A38" s="9" t="s">
        <v>24</v>
      </c>
      <c r="B38" s="10" t="s">
        <v>44</v>
      </c>
      <c r="C38" s="17">
        <v>0.03</v>
      </c>
      <c r="D38" s="13">
        <f>(D24+D31)*C38</f>
        <v>115.53365877181818</v>
      </c>
    </row>
    <row r="39" spans="1:4">
      <c r="A39" s="9" t="s">
        <v>26</v>
      </c>
      <c r="B39" s="10" t="s">
        <v>45</v>
      </c>
      <c r="C39" s="17">
        <v>1.4999999999999999E-2</v>
      </c>
      <c r="D39" s="13">
        <f>(D24+D31)*C39</f>
        <v>57.766829385909091</v>
      </c>
    </row>
    <row r="40" spans="1:4">
      <c r="A40" s="9" t="s">
        <v>28</v>
      </c>
      <c r="B40" s="10" t="s">
        <v>46</v>
      </c>
      <c r="C40" s="17">
        <v>0.01</v>
      </c>
      <c r="D40" s="13">
        <f>(D24+D31)*C40</f>
        <v>38.511219590606061</v>
      </c>
    </row>
    <row r="41" spans="1:4">
      <c r="A41" s="9" t="s">
        <v>30</v>
      </c>
      <c r="B41" s="10" t="s">
        <v>47</v>
      </c>
      <c r="C41" s="17">
        <v>6.0000000000000001E-3</v>
      </c>
      <c r="D41" s="13">
        <f>(D24+D31)*C41</f>
        <v>23.106731754363636</v>
      </c>
    </row>
    <row r="42" spans="1:4">
      <c r="A42" s="9" t="s">
        <v>48</v>
      </c>
      <c r="B42" s="10" t="s">
        <v>49</v>
      </c>
      <c r="C42" s="17">
        <v>2E-3</v>
      </c>
      <c r="D42" s="13">
        <f>(D24+D31)*C42</f>
        <v>7.7022439181212121</v>
      </c>
    </row>
    <row r="43" spans="1:4">
      <c r="A43" s="9" t="s">
        <v>50</v>
      </c>
      <c r="B43" s="10" t="s">
        <v>51</v>
      </c>
      <c r="C43" s="17">
        <v>0.08</v>
      </c>
      <c r="D43" s="13">
        <f>(D24+D31)*C43</f>
        <v>308.08975672484848</v>
      </c>
    </row>
    <row r="44" spans="1:4">
      <c r="A44" s="12"/>
      <c r="B44" s="11" t="s">
        <v>32</v>
      </c>
      <c r="C44" s="18">
        <f>SUM(C36:C43)</f>
        <v>0.36800000000000005</v>
      </c>
      <c r="D44" s="14">
        <f>SUM(D36:D43)</f>
        <v>1417.212880934303</v>
      </c>
    </row>
    <row r="46" spans="1:4">
      <c r="A46" s="2" t="s">
        <v>52</v>
      </c>
      <c r="B46" s="2"/>
      <c r="C46" s="2"/>
      <c r="D46" s="2"/>
    </row>
    <row r="47" spans="1:4">
      <c r="A47" s="11" t="s">
        <v>53</v>
      </c>
      <c r="B47" s="12" t="s">
        <v>54</v>
      </c>
      <c r="C47" s="12"/>
      <c r="D47" s="11" t="s">
        <v>19</v>
      </c>
    </row>
    <row r="48" spans="1:4">
      <c r="A48" s="9" t="s">
        <v>20</v>
      </c>
      <c r="B48" s="10" t="s">
        <v>55</v>
      </c>
      <c r="C48" s="10"/>
      <c r="D48" s="13">
        <f>(2*15*6)-(6%*D18)</f>
        <v>37.762200000000007</v>
      </c>
    </row>
    <row r="49" spans="1:4">
      <c r="A49" s="9" t="s">
        <v>22</v>
      </c>
      <c r="B49" s="10" t="s">
        <v>56</v>
      </c>
      <c r="C49" s="27">
        <v>52.09</v>
      </c>
      <c r="D49" s="13">
        <f>(C49*15)*80%</f>
        <v>625.08000000000004</v>
      </c>
    </row>
    <row r="50" spans="1:4">
      <c r="A50" s="9" t="s">
        <v>24</v>
      </c>
      <c r="B50" s="10" t="s">
        <v>57</v>
      </c>
      <c r="C50" s="10"/>
      <c r="D50" s="13">
        <v>124.7</v>
      </c>
    </row>
    <row r="51" spans="1:4">
      <c r="A51" s="9" t="s">
        <v>26</v>
      </c>
      <c r="B51" s="10" t="s">
        <v>115</v>
      </c>
      <c r="C51" s="10"/>
      <c r="D51" s="13">
        <v>10.039999999999999</v>
      </c>
    </row>
    <row r="52" spans="1:4">
      <c r="A52" s="9" t="s">
        <v>28</v>
      </c>
      <c r="B52" s="10" t="s">
        <v>100</v>
      </c>
      <c r="C52" s="10"/>
      <c r="D52" s="13">
        <v>35</v>
      </c>
    </row>
    <row r="53" spans="1:4">
      <c r="A53" s="9" t="s">
        <v>30</v>
      </c>
      <c r="B53" s="10" t="s">
        <v>143</v>
      </c>
      <c r="C53" s="10"/>
      <c r="D53" s="13">
        <f>((C49*15)*80%)/12</f>
        <v>52.09</v>
      </c>
    </row>
    <row r="54" spans="1:4">
      <c r="A54" s="12"/>
      <c r="B54" s="11" t="s">
        <v>32</v>
      </c>
      <c r="C54" s="12"/>
      <c r="D54" s="14">
        <f>SUM(D48:D53)</f>
        <v>884.67220000000009</v>
      </c>
    </row>
    <row r="56" spans="1:4">
      <c r="A56" s="2" t="s">
        <v>58</v>
      </c>
      <c r="B56" s="2"/>
      <c r="C56" s="2"/>
      <c r="D56" s="2"/>
    </row>
    <row r="57" spans="1:4">
      <c r="A57" s="11">
        <v>2</v>
      </c>
      <c r="B57" s="12" t="s">
        <v>59</v>
      </c>
      <c r="C57" s="12"/>
      <c r="D57" s="11" t="s">
        <v>19</v>
      </c>
    </row>
    <row r="58" spans="1:4">
      <c r="A58" s="9" t="s">
        <v>34</v>
      </c>
      <c r="B58" s="10" t="s">
        <v>35</v>
      </c>
      <c r="C58" s="10"/>
      <c r="D58" s="13">
        <f>D31</f>
        <v>385.11219590606061</v>
      </c>
    </row>
    <row r="59" spans="1:4">
      <c r="A59" s="9" t="s">
        <v>39</v>
      </c>
      <c r="B59" s="10" t="s">
        <v>40</v>
      </c>
      <c r="C59" s="10"/>
      <c r="D59" s="13">
        <f>D44</f>
        <v>1417.212880934303</v>
      </c>
    </row>
    <row r="60" spans="1:4">
      <c r="A60" s="9" t="s">
        <v>53</v>
      </c>
      <c r="B60" s="10" t="s">
        <v>54</v>
      </c>
      <c r="C60" s="10"/>
      <c r="D60" s="13">
        <f>D54</f>
        <v>884.67220000000009</v>
      </c>
    </row>
    <row r="61" spans="1:4">
      <c r="A61" s="19"/>
      <c r="B61" s="11" t="s">
        <v>32</v>
      </c>
      <c r="C61" s="12"/>
      <c r="D61" s="14">
        <f>SUM(D58:D60)</f>
        <v>2686.9972768403636</v>
      </c>
    </row>
    <row r="63" spans="1:4">
      <c r="A63" s="2" t="s">
        <v>60</v>
      </c>
      <c r="B63" s="2"/>
      <c r="C63" s="2"/>
      <c r="D63" s="2"/>
    </row>
    <row r="64" spans="1:4">
      <c r="A64" s="11">
        <v>3</v>
      </c>
      <c r="B64" s="12" t="s">
        <v>61</v>
      </c>
      <c r="C64" s="11" t="s">
        <v>41</v>
      </c>
      <c r="D64" s="11" t="s">
        <v>19</v>
      </c>
    </row>
    <row r="65" spans="1:4" ht="16.5" customHeight="1">
      <c r="A65" s="9" t="s">
        <v>20</v>
      </c>
      <c r="B65" s="10" t="s">
        <v>62</v>
      </c>
      <c r="C65" s="17">
        <f>((1/12)*0.05)*100%</f>
        <v>4.1666666666666666E-3</v>
      </c>
      <c r="D65" s="13">
        <f>(D24)*C65</f>
        <v>14.441707346477273</v>
      </c>
    </row>
    <row r="66" spans="1:4">
      <c r="A66" s="9" t="s">
        <v>22</v>
      </c>
      <c r="B66" s="10" t="s">
        <v>63</v>
      </c>
      <c r="C66" s="20">
        <f>8%*C65</f>
        <v>3.3333333333333332E-4</v>
      </c>
      <c r="D66" s="13">
        <f>(D24)*C66</f>
        <v>1.1553365877181818</v>
      </c>
    </row>
    <row r="67" spans="1:4" ht="16.5" customHeight="1">
      <c r="A67" s="9" t="s">
        <v>24</v>
      </c>
      <c r="B67" s="10" t="s">
        <v>97</v>
      </c>
      <c r="C67" s="17">
        <f>((1+2/12+(1/3*1/12))*0.08*0.4*0.9)</f>
        <v>3.4400000000000007E-2</v>
      </c>
      <c r="D67" s="13">
        <f>(D24)*C67</f>
        <v>119.23073585251639</v>
      </c>
    </row>
    <row r="68" spans="1:4" ht="16.5" customHeight="1">
      <c r="A68" s="9" t="s">
        <v>26</v>
      </c>
      <c r="B68" s="10" t="s">
        <v>95</v>
      </c>
      <c r="C68" s="17">
        <f>(1/30*7)/12</f>
        <v>1.9444444444444445E-2</v>
      </c>
      <c r="D68" s="13">
        <f>(D24)*C68</f>
        <v>67.394634283560606</v>
      </c>
    </row>
    <row r="69" spans="1:4" ht="31">
      <c r="A69" s="21" t="s">
        <v>28</v>
      </c>
      <c r="B69" s="22" t="s">
        <v>96</v>
      </c>
      <c r="C69" s="23">
        <f>C68*C44</f>
        <v>7.1555555555555565E-3</v>
      </c>
      <c r="D69" s="13">
        <f>(D24)*C69</f>
        <v>24.801225416350306</v>
      </c>
    </row>
    <row r="70" spans="1:4" ht="16.5" customHeight="1">
      <c r="A70" s="9" t="s">
        <v>30</v>
      </c>
      <c r="B70" s="10" t="s">
        <v>64</v>
      </c>
      <c r="C70" s="20">
        <f>C68*0.08*0.4</f>
        <v>6.2222222222222236E-4</v>
      </c>
      <c r="D70" s="13">
        <f>(D24)*C70</f>
        <v>2.1566282970739397</v>
      </c>
    </row>
    <row r="71" spans="1:4">
      <c r="A71" s="12"/>
      <c r="B71" s="11" t="s">
        <v>32</v>
      </c>
      <c r="C71" s="18">
        <f>SUM(C65:C70)</f>
        <v>6.6122222222222221E-2</v>
      </c>
      <c r="D71" s="14">
        <f>SUM(D65:D70)</f>
        <v>229.18026778369671</v>
      </c>
    </row>
    <row r="72" spans="1:4">
      <c r="A72" s="2"/>
      <c r="B72" s="6"/>
      <c r="C72" s="7"/>
      <c r="D72" s="8"/>
    </row>
    <row r="73" spans="1:4">
      <c r="A73" s="2" t="s">
        <v>65</v>
      </c>
      <c r="B73" s="2"/>
      <c r="C73" s="2"/>
      <c r="D73" s="2"/>
    </row>
    <row r="74" spans="1:4">
      <c r="A74" s="2" t="s">
        <v>66</v>
      </c>
      <c r="B74" s="2"/>
      <c r="C74" s="2"/>
      <c r="D74" s="2"/>
    </row>
    <row r="75" spans="1:4">
      <c r="A75" s="11" t="s">
        <v>67</v>
      </c>
      <c r="B75" s="12" t="s">
        <v>68</v>
      </c>
      <c r="C75" s="11" t="s">
        <v>41</v>
      </c>
      <c r="D75" s="11" t="s">
        <v>19</v>
      </c>
    </row>
    <row r="76" spans="1:4">
      <c r="A76" s="9" t="s">
        <v>20</v>
      </c>
      <c r="B76" s="10" t="s">
        <v>69</v>
      </c>
      <c r="C76" s="17">
        <f>(1/12)</f>
        <v>8.3333333333333329E-2</v>
      </c>
      <c r="D76" s="13">
        <f>(D24)*C76</f>
        <v>288.83414692954545</v>
      </c>
    </row>
    <row r="77" spans="1:4">
      <c r="A77" s="9" t="s">
        <v>22</v>
      </c>
      <c r="B77" s="10" t="s">
        <v>70</v>
      </c>
      <c r="C77" s="17">
        <f>(8/30)/12</f>
        <v>2.2222222222222223E-2</v>
      </c>
      <c r="D77" s="13">
        <f>(D24)*C77</f>
        <v>77.022439181212121</v>
      </c>
    </row>
    <row r="78" spans="1:4">
      <c r="A78" s="9" t="s">
        <v>24</v>
      </c>
      <c r="B78" s="10" t="s">
        <v>71</v>
      </c>
      <c r="C78" s="17">
        <f>((20/30)/12)*(1.416%)*45.22%</f>
        <v>3.557306666666666E-4</v>
      </c>
      <c r="D78" s="13">
        <f>(D24)*C78</f>
        <v>1.2329659637201416</v>
      </c>
    </row>
    <row r="79" spans="1:4">
      <c r="A79" s="9" t="s">
        <v>26</v>
      </c>
      <c r="B79" s="10" t="s">
        <v>72</v>
      </c>
      <c r="C79" s="17">
        <f>(15/365)*8%</f>
        <v>3.2876712328767121E-3</v>
      </c>
      <c r="D79" s="13">
        <f>(D24)*C79</f>
        <v>11.395100591193025</v>
      </c>
    </row>
    <row r="80" spans="1:4">
      <c r="A80" s="9" t="s">
        <v>28</v>
      </c>
      <c r="B80" s="10" t="s">
        <v>94</v>
      </c>
      <c r="C80" s="17">
        <f>0.121*0.03*((4/12))</f>
        <v>1.2099999999999997E-3</v>
      </c>
      <c r="D80" s="13">
        <f>(D24)*C80</f>
        <v>4.1938718134169992</v>
      </c>
    </row>
    <row r="81" spans="1:6">
      <c r="A81" s="9" t="s">
        <v>30</v>
      </c>
      <c r="B81" s="10" t="s">
        <v>73</v>
      </c>
      <c r="C81" s="17">
        <v>5.9999999999999995E-4</v>
      </c>
      <c r="D81" s="13">
        <f>$D$24*C81</f>
        <v>2.079605857892727</v>
      </c>
      <c r="E81" s="3"/>
      <c r="F81" s="3"/>
    </row>
    <row r="82" spans="1:6">
      <c r="A82" s="11"/>
      <c r="B82" s="11" t="s">
        <v>32</v>
      </c>
      <c r="C82" s="18">
        <f>SUM(C76:C81)</f>
        <v>0.11100895745509894</v>
      </c>
      <c r="D82" s="14">
        <f>SUM(D76:D81)</f>
        <v>384.7581303369804</v>
      </c>
    </row>
    <row r="84" spans="1:6">
      <c r="A84" s="2" t="s">
        <v>75</v>
      </c>
    </row>
    <row r="85" spans="1:6">
      <c r="A85" s="11" t="s">
        <v>76</v>
      </c>
      <c r="B85" s="12" t="s">
        <v>77</v>
      </c>
      <c r="C85" s="12"/>
      <c r="D85" s="11" t="s">
        <v>19</v>
      </c>
    </row>
    <row r="86" spans="1:6">
      <c r="A86" s="9" t="s">
        <v>20</v>
      </c>
      <c r="B86" s="10" t="s">
        <v>78</v>
      </c>
      <c r="C86" s="15"/>
      <c r="D86" s="13">
        <f>(D24/220)*1.5*15*1.2</f>
        <v>425.37392547805786</v>
      </c>
    </row>
    <row r="87" spans="1:6">
      <c r="A87" s="12"/>
      <c r="B87" s="11" t="s">
        <v>32</v>
      </c>
      <c r="C87" s="12"/>
      <c r="D87" s="14">
        <f>D86</f>
        <v>425.37392547805786</v>
      </c>
    </row>
    <row r="89" spans="1:6">
      <c r="A89" s="2" t="s">
        <v>79</v>
      </c>
      <c r="B89" s="2"/>
      <c r="C89" s="2"/>
      <c r="D89" s="2"/>
    </row>
    <row r="90" spans="1:6">
      <c r="A90" s="11">
        <v>4</v>
      </c>
      <c r="B90" s="12" t="s">
        <v>80</v>
      </c>
      <c r="C90" s="12"/>
      <c r="D90" s="11" t="s">
        <v>19</v>
      </c>
    </row>
    <row r="91" spans="1:6">
      <c r="A91" s="9" t="s">
        <v>67</v>
      </c>
      <c r="B91" s="10" t="s">
        <v>81</v>
      </c>
      <c r="C91" s="10"/>
      <c r="D91" s="13">
        <f>D82</f>
        <v>384.7581303369804</v>
      </c>
    </row>
    <row r="92" spans="1:6">
      <c r="A92" s="9" t="s">
        <v>76</v>
      </c>
      <c r="B92" s="10" t="s">
        <v>77</v>
      </c>
      <c r="C92" s="10"/>
      <c r="D92" s="13">
        <f>D87</f>
        <v>425.37392547805786</v>
      </c>
    </row>
    <row r="93" spans="1:6">
      <c r="A93" s="12"/>
      <c r="B93" s="11" t="s">
        <v>32</v>
      </c>
      <c r="C93" s="12"/>
      <c r="D93" s="14">
        <f>SUM(D91:D92)</f>
        <v>810.13205581503826</v>
      </c>
    </row>
    <row r="95" spans="1:6">
      <c r="A95" s="2" t="s">
        <v>82</v>
      </c>
      <c r="B95" s="2"/>
      <c r="C95" s="2"/>
      <c r="D95" s="2"/>
    </row>
    <row r="96" spans="1:6">
      <c r="A96" s="11">
        <v>5</v>
      </c>
      <c r="B96" s="12" t="s">
        <v>83</v>
      </c>
      <c r="C96" s="12"/>
      <c r="D96" s="11" t="s">
        <v>19</v>
      </c>
    </row>
    <row r="97" spans="1:4">
      <c r="A97" s="9" t="s">
        <v>20</v>
      </c>
      <c r="B97" s="10" t="s">
        <v>145</v>
      </c>
      <c r="C97" s="10"/>
      <c r="D97" s="13">
        <f>' Insumos '!F25</f>
        <v>0</v>
      </c>
    </row>
    <row r="98" spans="1:4">
      <c r="A98" s="9" t="s">
        <v>22</v>
      </c>
      <c r="B98" s="10" t="s">
        <v>113</v>
      </c>
      <c r="C98" s="10"/>
      <c r="D98" s="13"/>
    </row>
    <row r="99" spans="1:4">
      <c r="A99" s="9" t="s">
        <v>24</v>
      </c>
      <c r="B99" s="10" t="s">
        <v>111</v>
      </c>
      <c r="C99" s="10"/>
      <c r="D99" s="13">
        <f>' Insumos '!F16</f>
        <v>179.40666666666667</v>
      </c>
    </row>
    <row r="100" spans="1:4">
      <c r="A100" s="9" t="s">
        <v>26</v>
      </c>
      <c r="B100" s="10" t="s">
        <v>31</v>
      </c>
      <c r="C100" s="10"/>
      <c r="D100" s="13"/>
    </row>
    <row r="101" spans="1:4">
      <c r="A101" s="12"/>
      <c r="B101" s="11" t="s">
        <v>32</v>
      </c>
      <c r="C101" s="12"/>
      <c r="D101" s="14">
        <f>SUM(D97:D100)</f>
        <v>179.40666666666667</v>
      </c>
    </row>
    <row r="103" spans="1:4">
      <c r="A103" s="2" t="s">
        <v>84</v>
      </c>
      <c r="B103" s="2"/>
      <c r="C103" s="2"/>
      <c r="D103" s="2"/>
    </row>
    <row r="104" spans="1:4">
      <c r="A104" s="11">
        <v>6</v>
      </c>
      <c r="B104" s="12" t="s">
        <v>85</v>
      </c>
      <c r="C104" s="11" t="s">
        <v>41</v>
      </c>
      <c r="D104" s="11" t="s">
        <v>19</v>
      </c>
    </row>
    <row r="105" spans="1:4">
      <c r="A105" s="9" t="s">
        <v>20</v>
      </c>
      <c r="B105" s="10" t="s">
        <v>86</v>
      </c>
      <c r="C105" s="17">
        <v>0.06</v>
      </c>
      <c r="D105" s="13">
        <f>D120*C105</f>
        <v>442.30356181561865</v>
      </c>
    </row>
    <row r="106" spans="1:4">
      <c r="A106" s="9" t="s">
        <v>22</v>
      </c>
      <c r="B106" s="10" t="s">
        <v>87</v>
      </c>
      <c r="C106" s="17">
        <v>6.7900000000000002E-2</v>
      </c>
      <c r="D106" s="13">
        <f>(D120+D105)*C106</f>
        <v>530.57260930195559</v>
      </c>
    </row>
    <row r="107" spans="1:4">
      <c r="A107" s="9" t="s">
        <v>24</v>
      </c>
      <c r="B107" s="10" t="s">
        <v>88</v>
      </c>
      <c r="C107" s="17"/>
      <c r="D107" s="13"/>
    </row>
    <row r="108" spans="1:4">
      <c r="A108" s="9"/>
      <c r="B108" s="10" t="s">
        <v>103</v>
      </c>
      <c r="C108" s="17">
        <v>6.4999999999999997E-3</v>
      </c>
      <c r="D108" s="13">
        <f>(($D$120+$D$105+$D$106)/(1-$C$107))*C108</f>
        <v>54.239914308956244</v>
      </c>
    </row>
    <row r="109" spans="1:4">
      <c r="A109" s="9"/>
      <c r="B109" s="10" t="s">
        <v>101</v>
      </c>
      <c r="C109" s="17">
        <v>0.03</v>
      </c>
      <c r="D109" s="13">
        <f>(($D$120+$D$105+$D$106)/(1-$C$107))*C109</f>
        <v>250.3380660413365</v>
      </c>
    </row>
    <row r="110" spans="1:4">
      <c r="A110" s="9"/>
      <c r="B110" s="10" t="s">
        <v>102</v>
      </c>
      <c r="C110" s="17">
        <v>0.05</v>
      </c>
      <c r="D110" s="13">
        <f>(($D$120+$D$105+$D$106)/(1-$C$107))*C110</f>
        <v>417.23011006889419</v>
      </c>
    </row>
    <row r="111" spans="1:4">
      <c r="A111" s="12"/>
      <c r="B111" s="11" t="s">
        <v>32</v>
      </c>
      <c r="C111" s="18">
        <f>(C105+C106+C107+C108+C109+C110)</f>
        <v>0.21440000000000003</v>
      </c>
      <c r="D111" s="14">
        <f>SUM(D105:D110)</f>
        <v>1694.6842615367611</v>
      </c>
    </row>
    <row r="113" spans="1:4">
      <c r="A113" s="2" t="s">
        <v>89</v>
      </c>
      <c r="B113" s="2"/>
      <c r="C113" s="2"/>
      <c r="D113" s="2"/>
    </row>
    <row r="114" spans="1:4">
      <c r="A114" s="11"/>
      <c r="B114" s="12" t="s">
        <v>90</v>
      </c>
      <c r="C114" s="12"/>
      <c r="D114" s="11" t="s">
        <v>19</v>
      </c>
    </row>
    <row r="115" spans="1:4">
      <c r="A115" s="9" t="s">
        <v>20</v>
      </c>
      <c r="B115" s="10" t="s">
        <v>17</v>
      </c>
      <c r="C115" s="10"/>
      <c r="D115" s="13">
        <f>D24</f>
        <v>3466.0097631545455</v>
      </c>
    </row>
    <row r="116" spans="1:4">
      <c r="A116" s="9" t="s">
        <v>22</v>
      </c>
      <c r="B116" s="10" t="s">
        <v>33</v>
      </c>
      <c r="C116" s="10"/>
      <c r="D116" s="13">
        <f>D61</f>
        <v>2686.9972768403636</v>
      </c>
    </row>
    <row r="117" spans="1:4">
      <c r="A117" s="9" t="s">
        <v>24</v>
      </c>
      <c r="B117" s="10" t="s">
        <v>60</v>
      </c>
      <c r="C117" s="10"/>
      <c r="D117" s="13">
        <f>D71</f>
        <v>229.18026778369671</v>
      </c>
    </row>
    <row r="118" spans="1:4">
      <c r="A118" s="9" t="s">
        <v>26</v>
      </c>
      <c r="B118" s="10" t="s">
        <v>65</v>
      </c>
      <c r="C118" s="10"/>
      <c r="D118" s="13">
        <f>D93</f>
        <v>810.13205581503826</v>
      </c>
    </row>
    <row r="119" spans="1:4">
      <c r="A119" s="9" t="s">
        <v>28</v>
      </c>
      <c r="B119" s="10" t="s">
        <v>91</v>
      </c>
      <c r="C119" s="10"/>
      <c r="D119" s="13">
        <f>D101</f>
        <v>179.40666666666667</v>
      </c>
    </row>
    <row r="120" spans="1:4">
      <c r="A120" s="11"/>
      <c r="B120" s="11" t="s">
        <v>92</v>
      </c>
      <c r="C120" s="12"/>
      <c r="D120" s="14">
        <f>SUM(D115:D119)</f>
        <v>7371.7260302603108</v>
      </c>
    </row>
    <row r="121" spans="1:4">
      <c r="A121" s="9" t="s">
        <v>30</v>
      </c>
      <c r="B121" s="10" t="s">
        <v>84</v>
      </c>
      <c r="C121" s="10"/>
      <c r="D121" s="13">
        <f>D111</f>
        <v>1694.6842615367611</v>
      </c>
    </row>
    <row r="122" spans="1:4">
      <c r="A122" s="11"/>
      <c r="B122" s="11" t="s">
        <v>93</v>
      </c>
      <c r="C122" s="12"/>
      <c r="D122" s="14">
        <f>D120+D121</f>
        <v>9066.4102917970722</v>
      </c>
    </row>
  </sheetData>
  <sheetProtection selectLockedCells="1" selectUnlockedCells="1"/>
  <mergeCells count="6">
    <mergeCell ref="B14:C14"/>
    <mergeCell ref="A1:D1"/>
    <mergeCell ref="B10:C10"/>
    <mergeCell ref="B11:C11"/>
    <mergeCell ref="B12:C12"/>
    <mergeCell ref="B13:C13"/>
  </mergeCells>
  <pageMargins left="0.78740157480314965" right="0.39370078740157483" top="0.39370078740157483" bottom="0.39370078740157483" header="0.51181102362204722" footer="0.51181102362204722"/>
  <pageSetup paperSize="9" scale="80" orientation="portrait" horizontalDpi="300" verticalDpi="300" r:id="rId1"/>
  <headerFooter alignWithMargins="0"/>
  <rowBreaks count="1" manualBreakCount="1">
    <brk id="62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948B-233D-4E85-827B-ED0D1EBCE9BC}">
  <dimension ref="A1:F27"/>
  <sheetViews>
    <sheetView view="pageBreakPreview" zoomScale="124" zoomScaleNormal="100" zoomScaleSheetLayoutView="124" workbookViewId="0">
      <selection activeCell="C4" sqref="C4"/>
    </sheetView>
  </sheetViews>
  <sheetFormatPr defaultColWidth="11.54296875" defaultRowHeight="12.5"/>
  <cols>
    <col min="1" max="1" width="34" customWidth="1"/>
    <col min="2" max="2" width="20.1796875" customWidth="1"/>
    <col min="4" max="4" width="14" customWidth="1"/>
    <col min="5" max="5" width="22.7265625" customWidth="1"/>
    <col min="6" max="6" width="22.7265625" bestFit="1" customWidth="1"/>
  </cols>
  <sheetData>
    <row r="1" spans="1:6" ht="15">
      <c r="A1" s="70" t="s">
        <v>131</v>
      </c>
      <c r="B1" s="70"/>
      <c r="C1" s="70"/>
      <c r="D1" s="70"/>
      <c r="E1" s="70"/>
      <c r="F1" s="29"/>
    </row>
    <row r="2" spans="1:6" ht="15">
      <c r="A2" s="71" t="s">
        <v>111</v>
      </c>
      <c r="B2" s="72"/>
      <c r="C2" s="72"/>
      <c r="D2" s="72"/>
      <c r="E2" s="72"/>
      <c r="F2" s="73"/>
    </row>
    <row r="3" spans="1:6" ht="30">
      <c r="A3" s="31" t="s">
        <v>98</v>
      </c>
      <c r="B3" s="31" t="s">
        <v>106</v>
      </c>
      <c r="C3" s="31" t="s">
        <v>107</v>
      </c>
      <c r="D3" s="31" t="s">
        <v>108</v>
      </c>
      <c r="E3" s="31" t="s">
        <v>109</v>
      </c>
      <c r="F3" s="31" t="s">
        <v>133</v>
      </c>
    </row>
    <row r="4" spans="1:6" ht="15.5">
      <c r="A4" s="32" t="s">
        <v>123</v>
      </c>
      <c r="B4" s="33">
        <v>16</v>
      </c>
      <c r="C4" s="52">
        <v>148.6</v>
      </c>
      <c r="D4" s="35">
        <f t="shared" ref="D4:D15" si="0">B4*C4</f>
        <v>2377.6</v>
      </c>
      <c r="E4" s="36">
        <f t="shared" ref="E4:E15" si="1">D4/12</f>
        <v>198.13333333333333</v>
      </c>
      <c r="F4" s="36">
        <f t="shared" ref="F4:F15" si="2">E4/4</f>
        <v>49.533333333333331</v>
      </c>
    </row>
    <row r="5" spans="1:6" ht="15.5">
      <c r="A5" s="32" t="s">
        <v>124</v>
      </c>
      <c r="B5" s="33">
        <v>16</v>
      </c>
      <c r="C5" s="52">
        <v>103.27</v>
      </c>
      <c r="D5" s="35">
        <f t="shared" si="0"/>
        <v>1652.32</v>
      </c>
      <c r="E5" s="36">
        <f t="shared" si="1"/>
        <v>137.69333333333333</v>
      </c>
      <c r="F5" s="36">
        <f t="shared" si="2"/>
        <v>34.423333333333332</v>
      </c>
    </row>
    <row r="6" spans="1:6" ht="15.5">
      <c r="A6" s="32" t="s">
        <v>125</v>
      </c>
      <c r="B6" s="33">
        <v>16</v>
      </c>
      <c r="C6" s="52">
        <v>99.57</v>
      </c>
      <c r="D6" s="35">
        <f t="shared" si="0"/>
        <v>1593.12</v>
      </c>
      <c r="E6" s="36">
        <f t="shared" si="1"/>
        <v>132.76</v>
      </c>
      <c r="F6" s="36">
        <f t="shared" si="2"/>
        <v>33.19</v>
      </c>
    </row>
    <row r="7" spans="1:6" ht="15.5">
      <c r="A7" s="32" t="s">
        <v>118</v>
      </c>
      <c r="B7" s="33">
        <v>4</v>
      </c>
      <c r="C7" s="52">
        <v>24.97</v>
      </c>
      <c r="D7" s="35">
        <f t="shared" si="0"/>
        <v>99.88</v>
      </c>
      <c r="E7" s="36">
        <f t="shared" si="1"/>
        <v>8.3233333333333324</v>
      </c>
      <c r="F7" s="36">
        <f t="shared" si="2"/>
        <v>2.0808333333333331</v>
      </c>
    </row>
    <row r="8" spans="1:6" ht="15.5">
      <c r="A8" s="32" t="s">
        <v>126</v>
      </c>
      <c r="B8" s="33">
        <v>8</v>
      </c>
      <c r="C8" s="52">
        <v>138.30000000000001</v>
      </c>
      <c r="D8" s="35">
        <f t="shared" si="0"/>
        <v>1106.4000000000001</v>
      </c>
      <c r="E8" s="36">
        <f t="shared" si="1"/>
        <v>92.2</v>
      </c>
      <c r="F8" s="36">
        <f t="shared" si="2"/>
        <v>23.05</v>
      </c>
    </row>
    <row r="9" spans="1:6" ht="15.5">
      <c r="A9" s="32" t="s">
        <v>127</v>
      </c>
      <c r="B9" s="33">
        <v>24</v>
      </c>
      <c r="C9" s="52">
        <v>24.4</v>
      </c>
      <c r="D9" s="35">
        <f t="shared" si="0"/>
        <v>585.59999999999991</v>
      </c>
      <c r="E9" s="36">
        <f t="shared" si="1"/>
        <v>48.79999999999999</v>
      </c>
      <c r="F9" s="36">
        <f t="shared" si="2"/>
        <v>12.199999999999998</v>
      </c>
    </row>
    <row r="10" spans="1:6" ht="15.5">
      <c r="A10" s="32" t="s">
        <v>117</v>
      </c>
      <c r="B10" s="33">
        <v>4</v>
      </c>
      <c r="C10" s="52">
        <v>176.3</v>
      </c>
      <c r="D10" s="35">
        <f t="shared" si="0"/>
        <v>705.2</v>
      </c>
      <c r="E10" s="36">
        <f t="shared" si="1"/>
        <v>58.766666666666673</v>
      </c>
      <c r="F10" s="36">
        <f t="shared" si="2"/>
        <v>14.691666666666668</v>
      </c>
    </row>
    <row r="11" spans="1:6" ht="15.5">
      <c r="A11" s="32" t="s">
        <v>99</v>
      </c>
      <c r="B11" s="33">
        <v>4</v>
      </c>
      <c r="C11" s="52">
        <v>27.1</v>
      </c>
      <c r="D11" s="35">
        <f t="shared" si="0"/>
        <v>108.4</v>
      </c>
      <c r="E11" s="36">
        <f t="shared" si="1"/>
        <v>9.0333333333333332</v>
      </c>
      <c r="F11" s="36">
        <f t="shared" si="2"/>
        <v>2.2583333333333333</v>
      </c>
    </row>
    <row r="12" spans="1:6" ht="15.5">
      <c r="A12" s="32" t="s">
        <v>119</v>
      </c>
      <c r="B12" s="33">
        <v>4</v>
      </c>
      <c r="C12" s="52">
        <v>6.03</v>
      </c>
      <c r="D12" s="35">
        <f t="shared" si="0"/>
        <v>24.12</v>
      </c>
      <c r="E12" s="36">
        <f t="shared" si="1"/>
        <v>2.0100000000000002</v>
      </c>
      <c r="F12" s="36">
        <f t="shared" si="2"/>
        <v>0.50250000000000006</v>
      </c>
    </row>
    <row r="13" spans="1:6" ht="15.5">
      <c r="A13" s="32" t="s">
        <v>121</v>
      </c>
      <c r="B13" s="33">
        <v>4</v>
      </c>
      <c r="C13" s="52">
        <v>11.83</v>
      </c>
      <c r="D13" s="35">
        <f t="shared" si="0"/>
        <v>47.32</v>
      </c>
      <c r="E13" s="36">
        <f t="shared" si="1"/>
        <v>3.9433333333333334</v>
      </c>
      <c r="F13" s="36">
        <f t="shared" si="2"/>
        <v>0.98583333333333334</v>
      </c>
    </row>
    <row r="14" spans="1:6" ht="15.5">
      <c r="A14" s="32" t="s">
        <v>122</v>
      </c>
      <c r="B14" s="33">
        <v>4</v>
      </c>
      <c r="C14" s="52">
        <v>12.57</v>
      </c>
      <c r="D14" s="35">
        <f t="shared" si="0"/>
        <v>50.28</v>
      </c>
      <c r="E14" s="36">
        <f t="shared" si="1"/>
        <v>4.1900000000000004</v>
      </c>
      <c r="F14" s="36">
        <f t="shared" si="2"/>
        <v>1.0475000000000001</v>
      </c>
    </row>
    <row r="15" spans="1:6" ht="15.5">
      <c r="A15" s="32" t="s">
        <v>149</v>
      </c>
      <c r="B15" s="33">
        <v>8</v>
      </c>
      <c r="C15" s="52">
        <v>32.659999999999997</v>
      </c>
      <c r="D15" s="34">
        <f t="shared" si="0"/>
        <v>261.27999999999997</v>
      </c>
      <c r="E15" s="37">
        <f t="shared" si="1"/>
        <v>21.77333333333333</v>
      </c>
      <c r="F15" s="36">
        <f t="shared" si="2"/>
        <v>5.4433333333333325</v>
      </c>
    </row>
    <row r="16" spans="1:6" ht="15.5">
      <c r="A16" s="38" t="s">
        <v>74</v>
      </c>
      <c r="B16" s="39"/>
      <c r="C16" s="40"/>
      <c r="D16" s="41">
        <f>SUM(D4:D15)</f>
        <v>8611.5200000000023</v>
      </c>
      <c r="E16" s="42">
        <f>SUM(E4,E5,E6,E7,E8,E9,E10,E11,E12,E13,E14,E15)</f>
        <v>717.62666666666667</v>
      </c>
      <c r="F16" s="42">
        <f>SUM(F4,F5,F6,F7,F8,F9,F10,F11,F12,F13,F14,F15)</f>
        <v>179.40666666666667</v>
      </c>
    </row>
    <row r="17" spans="1:6" ht="15">
      <c r="A17" s="29"/>
      <c r="B17" s="29"/>
      <c r="C17" s="29"/>
      <c r="D17" s="29"/>
      <c r="E17" s="29"/>
      <c r="F17" s="29"/>
    </row>
    <row r="18" spans="1:6" ht="15">
      <c r="A18" s="74" t="s">
        <v>110</v>
      </c>
      <c r="B18" s="75"/>
      <c r="C18" s="75"/>
      <c r="D18" s="75"/>
      <c r="E18" s="75"/>
      <c r="F18" s="76"/>
    </row>
    <row r="19" spans="1:6" ht="30">
      <c r="A19" s="31" t="s">
        <v>98</v>
      </c>
      <c r="B19" s="31" t="s">
        <v>112</v>
      </c>
      <c r="C19" s="31" t="s">
        <v>107</v>
      </c>
      <c r="D19" s="31" t="s">
        <v>108</v>
      </c>
      <c r="E19" s="31" t="s">
        <v>109</v>
      </c>
      <c r="F19" s="31" t="s">
        <v>133</v>
      </c>
    </row>
    <row r="20" spans="1:6" ht="15.5">
      <c r="A20" s="32" t="s">
        <v>128</v>
      </c>
      <c r="B20" s="44">
        <v>1</v>
      </c>
      <c r="C20" s="52">
        <v>17.920000000000002</v>
      </c>
      <c r="D20" s="35">
        <f>B20*C20</f>
        <v>17.920000000000002</v>
      </c>
      <c r="E20" s="36">
        <f>D20/12</f>
        <v>1.4933333333333334</v>
      </c>
      <c r="F20" s="36">
        <f>E20/4</f>
        <v>0.37333333333333335</v>
      </c>
    </row>
    <row r="21" spans="1:6" ht="28.5" customHeight="1">
      <c r="A21" s="32" t="s">
        <v>129</v>
      </c>
      <c r="B21" s="44">
        <v>2</v>
      </c>
      <c r="C21" s="53">
        <v>48.73</v>
      </c>
      <c r="D21" s="35">
        <f>B21*C21</f>
        <v>97.46</v>
      </c>
      <c r="E21" s="36">
        <f>D21/12</f>
        <v>8.1216666666666661</v>
      </c>
      <c r="F21" s="36">
        <f>E21/4</f>
        <v>2.0304166666666665</v>
      </c>
    </row>
    <row r="22" spans="1:6" ht="15.5">
      <c r="A22" s="32" t="s">
        <v>120</v>
      </c>
      <c r="B22" s="33">
        <v>2</v>
      </c>
      <c r="C22" s="53">
        <v>20.97</v>
      </c>
      <c r="D22" s="35">
        <f>B22*C22</f>
        <v>41.94</v>
      </c>
      <c r="E22" s="36">
        <f>D22/12</f>
        <v>3.4949999999999997</v>
      </c>
      <c r="F22" s="36">
        <f>E22/4</f>
        <v>0.87374999999999992</v>
      </c>
    </row>
    <row r="23" spans="1:6" ht="31">
      <c r="A23" s="32" t="s">
        <v>130</v>
      </c>
      <c r="B23" s="44">
        <v>1</v>
      </c>
      <c r="C23" s="52">
        <v>28.16</v>
      </c>
      <c r="D23" s="35">
        <f>B23*C23</f>
        <v>28.16</v>
      </c>
      <c r="E23" s="36">
        <f>D23/12</f>
        <v>2.3466666666666667</v>
      </c>
      <c r="F23" s="36">
        <f>E23/4</f>
        <v>0.58666666666666667</v>
      </c>
    </row>
    <row r="24" spans="1:6" ht="27.75" customHeight="1">
      <c r="A24" s="38" t="s">
        <v>74</v>
      </c>
      <c r="B24" s="30"/>
      <c r="C24" s="45"/>
      <c r="D24" s="41">
        <f>SUM(D20:D23)</f>
        <v>185.48</v>
      </c>
      <c r="E24" s="42">
        <f>SUM(E20:E23)</f>
        <v>15.456666666666667</v>
      </c>
      <c r="F24" s="46">
        <f>E24/4</f>
        <v>3.8641666666666667</v>
      </c>
    </row>
    <row r="25" spans="1:6" ht="15">
      <c r="A25" s="47" t="s">
        <v>132</v>
      </c>
      <c r="B25" s="43"/>
      <c r="C25" s="48"/>
      <c r="D25" s="49">
        <f>D16+D24</f>
        <v>8797.0000000000018</v>
      </c>
      <c r="E25" s="50"/>
      <c r="F25" s="50"/>
    </row>
    <row r="26" spans="1:6" ht="15.5">
      <c r="A26" s="51"/>
      <c r="B26" s="51"/>
      <c r="C26" s="51"/>
      <c r="D26" s="51"/>
      <c r="E26" s="51"/>
      <c r="F26" s="51"/>
    </row>
    <row r="27" spans="1:6" ht="15.5">
      <c r="A27" s="51"/>
      <c r="B27" s="51"/>
      <c r="C27" s="51"/>
      <c r="D27" s="51"/>
      <c r="E27" s="51"/>
      <c r="F27" s="51"/>
    </row>
  </sheetData>
  <sheetProtection selectLockedCells="1" selectUnlockedCells="1"/>
  <mergeCells count="3">
    <mergeCell ref="A1:E1"/>
    <mergeCell ref="A2:F2"/>
    <mergeCell ref="A18:F18"/>
  </mergeCells>
  <pageMargins left="0.39374999999999999" right="0.39374999999999999" top="0.39374999999999999" bottom="0.39374999999999999" header="0.51180555555555551" footer="0.51180555555555551"/>
  <pageSetup paperSize="9" scale="75" orientation="portrait" horizontalDpi="300" verticalDpi="300" r:id="rId1"/>
  <headerFooter alignWithMargins="0"/>
  <colBreaks count="1" manualBreakCount="1">
    <brk id="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Resumo</vt:lpstr>
      <vt:lpstr>SEGUNDA A DOMINGO 12H DIURNO</vt:lpstr>
      <vt:lpstr>SEGUNDA A DOMINGO 12H NOTURNO</vt:lpstr>
      <vt:lpstr> Insumos </vt:lpstr>
      <vt:lpstr>' Insumos '!Area_de_impressao</vt:lpstr>
      <vt:lpstr>Resumo!Area_de_impressao</vt:lpstr>
      <vt:lpstr>'SEGUNDA A DOMINGO 12H DIURNO'!Area_de_impressao</vt:lpstr>
      <vt:lpstr>'SEGUNDA A DOMINGO 12H NOTURNO'!Area_de_impressao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</dc:creator>
  <cp:lastModifiedBy>Ivan Saldanha</cp:lastModifiedBy>
  <cp:lastPrinted>2025-03-20T19:36:22Z</cp:lastPrinted>
  <dcterms:created xsi:type="dcterms:W3CDTF">2019-01-12T19:03:12Z</dcterms:created>
  <dcterms:modified xsi:type="dcterms:W3CDTF">2025-03-20T19:52:20Z</dcterms:modified>
</cp:coreProperties>
</file>