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jessica.narciso\Desktop\Nova pasta (2)\"/>
    </mc:Choice>
  </mc:AlternateContent>
  <xr:revisionPtr revIDLastSave="0" documentId="8_{34E2B4AC-D7E3-45C2-9F25-5EBDD607649E}" xr6:coauthVersionLast="47" xr6:coauthVersionMax="47" xr10:uidLastSave="{00000000-0000-0000-0000-000000000000}"/>
  <bookViews>
    <workbookView xWindow="-110" yWindow="-110" windowWidth="19420" windowHeight="10420" tabRatio="934" firstSheet="2" activeTab="3" xr2:uid="{00000000-000D-0000-FFFF-FFFF00000000}"/>
  </bookViews>
  <sheets>
    <sheet name="proposta" sheetId="48" state="hidden" r:id="rId1"/>
    <sheet name="Planilha1" sheetId="49" state="hidden" r:id="rId2"/>
    <sheet name="Resumo Geral " sheetId="1" r:id="rId3"/>
    <sheet name="Recepção (40h) " sheetId="3" r:id="rId4"/>
    <sheet name="Motorista 1 (44h) " sheetId="4" r:id="rId5"/>
    <sheet name="Motorista 2 (44h)  " sheetId="76" r:id="rId6"/>
    <sheet name="Portaria Diurno Temp. SED (40h)" sheetId="68" r:id="rId7"/>
    <sheet name="Portaria Diurno SEDE (40h)" sheetId="67" r:id="rId8"/>
    <sheet name="Portaria Diurno Mgá (40h) " sheetId="75" r:id="rId9"/>
    <sheet name="Aux. Manut. Pred. (40h) " sheetId="51" r:id="rId10"/>
    <sheet name="Supervisor " sheetId="63" r:id="rId11"/>
    <sheet name="Planilha2" sheetId="50" state="hidden" r:id="rId12"/>
    <sheet name="Limpeza Sede Administrativa " sheetId="77" r:id="rId13"/>
    <sheet name="Limpeza Regional Curitiba" sheetId="78" r:id="rId14"/>
    <sheet name="Limpeza Regional Apucarana " sheetId="79" r:id="rId15"/>
    <sheet name="Limpeza Regional Cascavel" sheetId="9" r:id="rId16"/>
    <sheet name="Limpeza Regional Guarapuava " sheetId="10" r:id="rId17"/>
    <sheet name="Limpeza Regional Londrina" sheetId="80" r:id="rId18"/>
    <sheet name="Limpeza Regional Maringá" sheetId="81" r:id="rId19"/>
    <sheet name="Limpeza Regional Pato Branco " sheetId="11" r:id="rId20"/>
    <sheet name="Limpeza Regional Ponta Gros " sheetId="82" r:id="rId21"/>
    <sheet name="Limpeza Água Verde " sheetId="16" r:id="rId22"/>
    <sheet name="Limpeza Insp Arapongas " sheetId="17" r:id="rId23"/>
    <sheet name="Limpeza Insp Bandeirantes" sheetId="18" r:id="rId24"/>
    <sheet name="Limpeza Insp Campo Largo" sheetId="19" r:id="rId25"/>
    <sheet name="Limpeza Insp Campo Mourão" sheetId="20" r:id="rId26"/>
    <sheet name="Limpeza Insp Castro" sheetId="21" r:id="rId27"/>
    <sheet name="Limpeza Insp Cianorte" sheetId="22" r:id="rId28"/>
    <sheet name="Limpeza Insp Cornélio Proc." sheetId="23" r:id="rId29"/>
    <sheet name="Limpeza Insp Foz do Iguaçu" sheetId="24" r:id="rId30"/>
    <sheet name="Limpeza Insp Francisco Belt." sheetId="25" r:id="rId31"/>
    <sheet name="Limpeza Insp Ibaiti" sheetId="26" r:id="rId32"/>
    <sheet name="Limpeza Insp Irati" sheetId="27" r:id="rId33"/>
    <sheet name="Limpeza Insp Ivaiporã" sheetId="28" r:id="rId34"/>
    <sheet name="Limpeza Insp Jacarezinho" sheetId="29" r:id="rId35"/>
    <sheet name="Limpeza Insp Mal Cândido Ron" sheetId="31" r:id="rId36"/>
    <sheet name="Limpeza Insp Medianeira" sheetId="32" r:id="rId37"/>
    <sheet name="Limpeza Insp Palmas" sheetId="33" r:id="rId38"/>
    <sheet name="Limpeza Insp Paranaguá" sheetId="34" r:id="rId39"/>
    <sheet name="Limpeza Insp Paranavaí" sheetId="35" r:id="rId40"/>
    <sheet name="Limpeza Insp Realeza" sheetId="36" r:id="rId41"/>
    <sheet name="Limpeza Insp Rio Negro" sheetId="37" r:id="rId42"/>
    <sheet name="Limpeza Insp Sto Ant Platina" sheetId="38" r:id="rId43"/>
    <sheet name="Limpeza Insp São José Pinhais" sheetId="39" r:id="rId44"/>
    <sheet name="Limpeza Insp Telêmaco Borba" sheetId="40" r:id="rId45"/>
    <sheet name="Limpeza Insp Toledo" sheetId="41" r:id="rId46"/>
    <sheet name="Limpeza Insp Umuarama" sheetId="42" r:id="rId47"/>
    <sheet name="Limpeza Insp União Vitória" sheetId="43" r:id="rId48"/>
    <sheet name="Uniformes" sheetId="44" r:id="rId49"/>
    <sheet name="Limpeza - EPIs e EPCs " sheetId="46" r:id="rId50"/>
    <sheet name="Aux. Manut. Pred. - EPIs " sheetId="53" r:id="rId51"/>
    <sheet name="Limpeza - Materiais " sheetId="45" r:id="rId52"/>
    <sheet name="Limpeza - Imóveis" sheetId="57" r:id="rId53"/>
    <sheet name="Limpeza - Imóveis ext e envidra" sheetId="60" r:id="rId54"/>
  </sheets>
  <externalReferences>
    <externalReference r:id="rId55"/>
  </externalReferences>
  <definedNames>
    <definedName name="_xlnm.Print_Area" localSheetId="50">'Aux. Manut. Pred. - EPIs '!$A$1:$F$11</definedName>
    <definedName name="_xlnm.Print_Area" localSheetId="9">'Aux. Manut. Pred. (40h) '!$A$1:$I$166</definedName>
    <definedName name="_xlnm.Print_Area" localSheetId="49">'Limpeza - EPIs e EPCs '!$A$1:$G$18</definedName>
    <definedName name="_xlnm.Print_Area" localSheetId="52">'Limpeza - Imóveis'!$A$1:$AI$41</definedName>
    <definedName name="_xlnm.Print_Area" localSheetId="53">'Limpeza - Imóveis ext e envidra'!$A$1:$N$12</definedName>
    <definedName name="_xlnm.Print_Area" localSheetId="51">'Limpeza - Materiais '!$A$1:$AY$42</definedName>
    <definedName name="_xlnm.Print_Area" localSheetId="21">'Limpeza Água Verde '!$A$1:$I$166</definedName>
    <definedName name="_xlnm.Print_Area" localSheetId="22">'Limpeza Insp Arapongas '!$A$1:$I$166</definedName>
    <definedName name="_xlnm.Print_Area" localSheetId="23">'Limpeza Insp Bandeirantes'!$A$1:$I$166</definedName>
    <definedName name="_xlnm.Print_Area" localSheetId="24">'Limpeza Insp Campo Largo'!$A$1:$I$166</definedName>
    <definedName name="_xlnm.Print_Area" localSheetId="25">'Limpeza Insp Campo Mourão'!$A$1:$I$166</definedName>
    <definedName name="_xlnm.Print_Area" localSheetId="26">'Limpeza Insp Castro'!$A$1:$I$166</definedName>
    <definedName name="_xlnm.Print_Area" localSheetId="27">'Limpeza Insp Cianorte'!$A$1:$I$166</definedName>
    <definedName name="_xlnm.Print_Area" localSheetId="28">'Limpeza Insp Cornélio Proc.'!$A$1:$I$166</definedName>
    <definedName name="_xlnm.Print_Area" localSheetId="29">'Limpeza Insp Foz do Iguaçu'!$A$1:$I$166</definedName>
    <definedName name="_xlnm.Print_Area" localSheetId="30">'Limpeza Insp Francisco Belt.'!$A$1:$I$166</definedName>
    <definedName name="_xlnm.Print_Area" localSheetId="31">'Limpeza Insp Ibaiti'!$A$1:$I$166</definedName>
    <definedName name="_xlnm.Print_Area" localSheetId="32">'Limpeza Insp Irati'!$A$1:$I$166</definedName>
    <definedName name="_xlnm.Print_Area" localSheetId="33">'Limpeza Insp Ivaiporã'!$A$1:$I$166</definedName>
    <definedName name="_xlnm.Print_Area" localSheetId="34">'Limpeza Insp Jacarezinho'!$A$1:$I$166</definedName>
    <definedName name="_xlnm.Print_Area" localSheetId="35">'Limpeza Insp Mal Cândido Ron'!$A$1:$I$166</definedName>
    <definedName name="_xlnm.Print_Area" localSheetId="36">'Limpeza Insp Medianeira'!$A$1:$I$166</definedName>
    <definedName name="_xlnm.Print_Area" localSheetId="37">'Limpeza Insp Palmas'!$A$1:$I$166</definedName>
    <definedName name="_xlnm.Print_Area" localSheetId="38">'Limpeza Insp Paranaguá'!$A$1:$I$166</definedName>
    <definedName name="_xlnm.Print_Area" localSheetId="39">'Limpeza Insp Paranavaí'!$A$1:$I$166</definedName>
    <definedName name="_xlnm.Print_Area" localSheetId="40">'Limpeza Insp Realeza'!$A$1:$I$166</definedName>
    <definedName name="_xlnm.Print_Area" localSheetId="41">'Limpeza Insp Rio Negro'!$A$1:$I$166</definedName>
    <definedName name="_xlnm.Print_Area" localSheetId="43">'Limpeza Insp São José Pinhais'!$A$1:$I$166</definedName>
    <definedName name="_xlnm.Print_Area" localSheetId="42">'Limpeza Insp Sto Ant Platina'!$A$1:$I$166</definedName>
    <definedName name="_xlnm.Print_Area" localSheetId="44">'Limpeza Insp Telêmaco Borba'!$A$1:$I$166</definedName>
    <definedName name="_xlnm.Print_Area" localSheetId="45">'Limpeza Insp Toledo'!$A$1:$I$166</definedName>
    <definedName name="_xlnm.Print_Area" localSheetId="46">'Limpeza Insp Umuarama'!$A$1:$I$166</definedName>
    <definedName name="_xlnm.Print_Area" localSheetId="47">'Limpeza Insp União Vitória'!$A$1:$I$166</definedName>
    <definedName name="_xlnm.Print_Area" localSheetId="14">'Limpeza Regional Apucarana '!$A$1:$I$220</definedName>
    <definedName name="_xlnm.Print_Area" localSheetId="15">'Limpeza Regional Cascavel'!$A$1:$J$220</definedName>
    <definedName name="_xlnm.Print_Area" localSheetId="13">'Limpeza Regional Curitiba'!$A$1:$I$220</definedName>
    <definedName name="_xlnm.Print_Area" localSheetId="16">'Limpeza Regional Guarapuava '!$A$1:$I$166</definedName>
    <definedName name="_xlnm.Print_Area" localSheetId="17">'Limpeza Regional Londrina'!$A$1:$I$221</definedName>
    <definedName name="_xlnm.Print_Area" localSheetId="18">'Limpeza Regional Maringá'!$A$1:$J$221</definedName>
    <definedName name="_xlnm.Print_Area" localSheetId="19">'Limpeza Regional Pato Branco '!$A$1:$I$167</definedName>
    <definedName name="_xlnm.Print_Area" localSheetId="20">'Limpeza Regional Ponta Gros '!$A$1:$I$221</definedName>
    <definedName name="_xlnm.Print_Area" localSheetId="12">'Limpeza Sede Administrativa '!$A$1:$I$220</definedName>
    <definedName name="_xlnm.Print_Area" localSheetId="4">'Motorista 1 (44h) '!$A$1:$I$175</definedName>
    <definedName name="_xlnm.Print_Area" localSheetId="5">'Motorista 2 (44h)  '!$A$1:$I$175</definedName>
    <definedName name="_xlnm.Print_Area" localSheetId="8">'Portaria Diurno Mgá (40h) '!$A$1:$I$175</definedName>
    <definedName name="_xlnm.Print_Area" localSheetId="7">'Portaria Diurno SEDE (40h)'!$A$1:$I$165</definedName>
    <definedName name="_xlnm.Print_Area" localSheetId="6">'Portaria Diurno Temp. SED (40h)'!$A$1:$J$165</definedName>
    <definedName name="_xlnm.Print_Area" localSheetId="0">proposta!$A$1:$A$31</definedName>
    <definedName name="_xlnm.Print_Area" localSheetId="3">'Recepção (40h) '!$A$1:$I$166</definedName>
    <definedName name="_xlnm.Print_Area" localSheetId="2">'Resumo Geral '!$A$1:$D$95</definedName>
    <definedName name="_xlnm.Print_Area" localSheetId="10">'Supervisor '!$A$1:$I$166</definedName>
    <definedName name="_xlnm.Print_Area" localSheetId="48">Uniformes!$A$1:$H$59</definedName>
    <definedName name="DIAS_AUSENCIAS_LEGAIS">'[1]DADOS-ESTATISTICOS'!$F$29</definedName>
    <definedName name="DIAS_LICENCA_MATERNIDADE">'[1]DADOS-ESTATISTICOS'!$F$35</definedName>
    <definedName name="DIAS_LICENCA_PATERNIDADE">'[1]DADOS-ESTATISTICOS'!$F$30</definedName>
    <definedName name="DIAS_NO_MES">'[1]DADOS-ESTATISTICOS'!$F$24</definedName>
    <definedName name="DIAS_PAGOS_EMPRESA_ACID_TRAB">'[1]DADOS-ESTATISTICOS'!$F$34</definedName>
    <definedName name="MESES_NO_ANO">'[1]DADOS-ESTATISTICOS'!$F$8</definedName>
    <definedName name="OUTRAS_AUSENCIAS_DESCRICAO">'[1]INSERÇÃO-DE-DADOS'!$C$51</definedName>
    <definedName name="PERC_EMPREG_AFAST_TRAB">'[1]DADOS-ESTATISTICOS'!$F$33</definedName>
    <definedName name="PERC_GPS_FGTS" localSheetId="14">#REF!</definedName>
    <definedName name="PERC_GPS_FGTS" localSheetId="13">#REF!</definedName>
    <definedName name="PERC_GPS_FGTS" localSheetId="17">#REF!</definedName>
    <definedName name="PERC_GPS_FGTS" localSheetId="18">#REF!</definedName>
    <definedName name="PERC_GPS_FGTS" localSheetId="20">#REF!</definedName>
    <definedName name="PERC_GPS_FGTS" localSheetId="12">#REF!</definedName>
    <definedName name="PERC_GPS_FGTS" localSheetId="5">#REF!</definedName>
    <definedName name="PERC_GPS_FGTS" localSheetId="8">#REF!</definedName>
    <definedName name="PERC_GPS_FGTS">#REF!</definedName>
    <definedName name="PERC_NASCIDOS_VIVOS_POPUL_FEM">'[1]DADOS-ESTATISTICOS'!$F$31</definedName>
    <definedName name="PERC_PARTIC_FEM_VIGIL">'[1]DADOS-ESTATISTICOS'!$F$36</definedName>
    <definedName name="PERC_PARTIC_MASC_VIGIL">'[1]DADOS-ESTATISTICOS'!$F$32</definedName>
    <definedName name="PERC_SUBSTITUTO_OUTRAS_AUSENCIAS">'[1]INSERÇÃO-DE-DADOS'!$F$51</definedName>
    <definedName name="Z_418E0683_5E85_4E09_83DB_7513FB73C39E_.wvu.Cols" localSheetId="2" hidden="1">'Resumo Geral '!#REF!</definedName>
    <definedName name="Z_418E0683_5E85_4E09_83DB_7513FB73C39E_.wvu.PrintArea" localSheetId="50" hidden="1">'Aux. Manut. Pred. - EPIs '!$A$1:$F$11</definedName>
    <definedName name="Z_418E0683_5E85_4E09_83DB_7513FB73C39E_.wvu.PrintArea" localSheetId="9" hidden="1">'Aux. Manut. Pred. (40h) '!$A$1:$I$166</definedName>
    <definedName name="Z_418E0683_5E85_4E09_83DB_7513FB73C39E_.wvu.PrintArea" localSheetId="49" hidden="1">'Limpeza - EPIs e EPCs '!$A$1:$G$18</definedName>
    <definedName name="Z_418E0683_5E85_4E09_83DB_7513FB73C39E_.wvu.PrintArea" localSheetId="51" hidden="1">'Limpeza - Materiais '!$A$1:$AU$42</definedName>
    <definedName name="Z_418E0683_5E85_4E09_83DB_7513FB73C39E_.wvu.PrintArea" localSheetId="21" hidden="1">'Limpeza Água Verde '!$A$1:$I$166</definedName>
    <definedName name="Z_418E0683_5E85_4E09_83DB_7513FB73C39E_.wvu.PrintArea" localSheetId="22" hidden="1">'Limpeza Insp Arapongas '!$A$1:$I$166</definedName>
    <definedName name="Z_418E0683_5E85_4E09_83DB_7513FB73C39E_.wvu.PrintArea" localSheetId="23" hidden="1">'Limpeza Insp Bandeirantes'!$A$1:$I$166</definedName>
    <definedName name="Z_418E0683_5E85_4E09_83DB_7513FB73C39E_.wvu.PrintArea" localSheetId="24" hidden="1">'Limpeza Insp Campo Largo'!$A$1:$I$166</definedName>
    <definedName name="Z_418E0683_5E85_4E09_83DB_7513FB73C39E_.wvu.PrintArea" localSheetId="25" hidden="1">'Limpeza Insp Campo Mourão'!$A$1:$I$166</definedName>
    <definedName name="Z_418E0683_5E85_4E09_83DB_7513FB73C39E_.wvu.PrintArea" localSheetId="26" hidden="1">'Limpeza Insp Castro'!$A$1:$I$166</definedName>
    <definedName name="Z_418E0683_5E85_4E09_83DB_7513FB73C39E_.wvu.PrintArea" localSheetId="27" hidden="1">'Limpeza Insp Cianorte'!$A$1:$I$166</definedName>
    <definedName name="Z_418E0683_5E85_4E09_83DB_7513FB73C39E_.wvu.PrintArea" localSheetId="28" hidden="1">'Limpeza Insp Cornélio Proc.'!$A$1:$I$166</definedName>
    <definedName name="Z_418E0683_5E85_4E09_83DB_7513FB73C39E_.wvu.PrintArea" localSheetId="29" hidden="1">'Limpeza Insp Foz do Iguaçu'!$A$1:$I$166</definedName>
    <definedName name="Z_418E0683_5E85_4E09_83DB_7513FB73C39E_.wvu.PrintArea" localSheetId="30" hidden="1">'Limpeza Insp Francisco Belt.'!$A$1:$I$166</definedName>
    <definedName name="Z_418E0683_5E85_4E09_83DB_7513FB73C39E_.wvu.PrintArea" localSheetId="31" hidden="1">'Limpeza Insp Ibaiti'!$A$1:$I$166</definedName>
    <definedName name="Z_418E0683_5E85_4E09_83DB_7513FB73C39E_.wvu.PrintArea" localSheetId="32" hidden="1">'Limpeza Insp Irati'!$A$1:$I$166</definedName>
    <definedName name="Z_418E0683_5E85_4E09_83DB_7513FB73C39E_.wvu.PrintArea" localSheetId="33" hidden="1">'Limpeza Insp Ivaiporã'!$A$1:$I$166</definedName>
    <definedName name="Z_418E0683_5E85_4E09_83DB_7513FB73C39E_.wvu.PrintArea" localSheetId="34" hidden="1">'Limpeza Insp Jacarezinho'!$A$1:$I$166</definedName>
    <definedName name="Z_418E0683_5E85_4E09_83DB_7513FB73C39E_.wvu.PrintArea" localSheetId="35" hidden="1">'Limpeza Insp Mal Cândido Ron'!$A$1:$I$166</definedName>
    <definedName name="Z_418E0683_5E85_4E09_83DB_7513FB73C39E_.wvu.PrintArea" localSheetId="36" hidden="1">'Limpeza Insp Medianeira'!$A$1:$I$166</definedName>
    <definedName name="Z_418E0683_5E85_4E09_83DB_7513FB73C39E_.wvu.PrintArea" localSheetId="37" hidden="1">'Limpeza Insp Palmas'!$A$1:$I$166</definedName>
    <definedName name="Z_418E0683_5E85_4E09_83DB_7513FB73C39E_.wvu.PrintArea" localSheetId="38" hidden="1">'Limpeza Insp Paranaguá'!$A$1:$I$166</definedName>
    <definedName name="Z_418E0683_5E85_4E09_83DB_7513FB73C39E_.wvu.PrintArea" localSheetId="39" hidden="1">'Limpeza Insp Paranavaí'!$A$1:$I$166</definedName>
    <definedName name="Z_418E0683_5E85_4E09_83DB_7513FB73C39E_.wvu.PrintArea" localSheetId="40" hidden="1">'Limpeza Insp Realeza'!$A$1:$I$166</definedName>
    <definedName name="Z_418E0683_5E85_4E09_83DB_7513FB73C39E_.wvu.PrintArea" localSheetId="41" hidden="1">'Limpeza Insp Rio Negro'!$A$1:$I$166</definedName>
    <definedName name="Z_418E0683_5E85_4E09_83DB_7513FB73C39E_.wvu.PrintArea" localSheetId="43" hidden="1">'Limpeza Insp São José Pinhais'!$A$1:$I$166</definedName>
    <definedName name="Z_418E0683_5E85_4E09_83DB_7513FB73C39E_.wvu.PrintArea" localSheetId="42" hidden="1">'Limpeza Insp Sto Ant Platina'!$A$1:$I$166</definedName>
    <definedName name="Z_418E0683_5E85_4E09_83DB_7513FB73C39E_.wvu.PrintArea" localSheetId="44" hidden="1">'Limpeza Insp Telêmaco Borba'!$A$1:$I$166</definedName>
    <definedName name="Z_418E0683_5E85_4E09_83DB_7513FB73C39E_.wvu.PrintArea" localSheetId="45" hidden="1">'Limpeza Insp Toledo'!$A$1:$I$166</definedName>
    <definedName name="Z_418E0683_5E85_4E09_83DB_7513FB73C39E_.wvu.PrintArea" localSheetId="46" hidden="1">'Limpeza Insp Umuarama'!$A$1:$I$166</definedName>
    <definedName name="Z_418E0683_5E85_4E09_83DB_7513FB73C39E_.wvu.PrintArea" localSheetId="47" hidden="1">'Limpeza Insp União Vitória'!$A$1:$I$166</definedName>
    <definedName name="Z_418E0683_5E85_4E09_83DB_7513FB73C39E_.wvu.PrintArea" localSheetId="14" hidden="1">'Limpeza Regional Apucarana '!$A$1:$I$178</definedName>
    <definedName name="Z_418E0683_5E85_4E09_83DB_7513FB73C39E_.wvu.PrintArea" localSheetId="15" hidden="1">'Limpeza Regional Cascavel'!$A$1:$I$178</definedName>
    <definedName name="Z_418E0683_5E85_4E09_83DB_7513FB73C39E_.wvu.PrintArea" localSheetId="13" hidden="1">'Limpeza Regional Curitiba'!$A$1:$I$178</definedName>
    <definedName name="Z_418E0683_5E85_4E09_83DB_7513FB73C39E_.wvu.PrintArea" localSheetId="16" hidden="1">'Limpeza Regional Guarapuava '!$A$1:$I$168</definedName>
    <definedName name="Z_418E0683_5E85_4E09_83DB_7513FB73C39E_.wvu.PrintArea" localSheetId="17" hidden="1">'Limpeza Regional Londrina'!$A$1:$I$180</definedName>
    <definedName name="Z_418E0683_5E85_4E09_83DB_7513FB73C39E_.wvu.PrintArea" localSheetId="18" hidden="1">'Limpeza Regional Maringá'!$A$1:$I$178</definedName>
    <definedName name="Z_418E0683_5E85_4E09_83DB_7513FB73C39E_.wvu.PrintArea" localSheetId="19" hidden="1">'Limpeza Regional Pato Branco '!$A$1:$I$168</definedName>
    <definedName name="Z_418E0683_5E85_4E09_83DB_7513FB73C39E_.wvu.PrintArea" localSheetId="20" hidden="1">'Limpeza Regional Ponta Gros '!$A$1:$I$178</definedName>
    <definedName name="Z_418E0683_5E85_4E09_83DB_7513FB73C39E_.wvu.PrintArea" localSheetId="12" hidden="1">'Limpeza Sede Administrativa '!$A$1:$I$220</definedName>
    <definedName name="Z_418E0683_5E85_4E09_83DB_7513FB73C39E_.wvu.PrintArea" localSheetId="4" hidden="1">'Motorista 1 (44h) '!$A$1:$I$166</definedName>
    <definedName name="Z_418E0683_5E85_4E09_83DB_7513FB73C39E_.wvu.PrintArea" localSheetId="5" hidden="1">'Motorista 2 (44h)  '!$A$1:$I$166</definedName>
    <definedName name="Z_418E0683_5E85_4E09_83DB_7513FB73C39E_.wvu.PrintArea" localSheetId="8" hidden="1">'Portaria Diurno Mgá (40h) '!$A$1:$I$166</definedName>
    <definedName name="Z_418E0683_5E85_4E09_83DB_7513FB73C39E_.wvu.PrintArea" localSheetId="7" hidden="1">'Portaria Diurno SEDE (40h)'!$A$1:$I$165</definedName>
    <definedName name="Z_418E0683_5E85_4E09_83DB_7513FB73C39E_.wvu.PrintArea" localSheetId="6" hidden="1">'Portaria Diurno Temp. SED (40h)'!$A$1:$I$165</definedName>
    <definedName name="Z_418E0683_5E85_4E09_83DB_7513FB73C39E_.wvu.PrintArea" localSheetId="0" hidden="1">proposta!$A$1:$A$31</definedName>
    <definedName name="Z_418E0683_5E85_4E09_83DB_7513FB73C39E_.wvu.PrintArea" localSheetId="3" hidden="1">'Recepção (40h) '!$A$1:$I$166</definedName>
    <definedName name="Z_418E0683_5E85_4E09_83DB_7513FB73C39E_.wvu.PrintArea" localSheetId="2" hidden="1">'Resumo Geral '!$A$1:$D$94</definedName>
    <definedName name="Z_418E0683_5E85_4E09_83DB_7513FB73C39E_.wvu.PrintArea" localSheetId="48" hidden="1">Uniformes!$A$1:$H$48</definedName>
    <definedName name="Z_76ECB78A_7CDD_46D1_8666_1706A28EB544_.wvu.Cols" localSheetId="2" hidden="1">'Resumo Geral '!#REF!</definedName>
    <definedName name="Z_76ECB78A_7CDD_46D1_8666_1706A28EB544_.wvu.PrintArea" localSheetId="50" hidden="1">'Aux. Manut. Pred. - EPIs '!$A$1:$F$11</definedName>
    <definedName name="Z_76ECB78A_7CDD_46D1_8666_1706A28EB544_.wvu.PrintArea" localSheetId="9" hidden="1">'Aux. Manut. Pred. (40h) '!$A$1:$I$166</definedName>
    <definedName name="Z_76ECB78A_7CDD_46D1_8666_1706A28EB544_.wvu.PrintArea" localSheetId="49" hidden="1">'Limpeza - EPIs e EPCs '!$A$1:$G$18</definedName>
    <definedName name="Z_76ECB78A_7CDD_46D1_8666_1706A28EB544_.wvu.PrintArea" localSheetId="51" hidden="1">'Limpeza - Materiais '!$A$1:$AU$42</definedName>
    <definedName name="Z_76ECB78A_7CDD_46D1_8666_1706A28EB544_.wvu.PrintArea" localSheetId="21" hidden="1">'Limpeza Água Verde '!$A$1:$I$166</definedName>
    <definedName name="Z_76ECB78A_7CDD_46D1_8666_1706A28EB544_.wvu.PrintArea" localSheetId="22" hidden="1">'Limpeza Insp Arapongas '!$A$1:$I$166</definedName>
    <definedName name="Z_76ECB78A_7CDD_46D1_8666_1706A28EB544_.wvu.PrintArea" localSheetId="23" hidden="1">'Limpeza Insp Bandeirantes'!$A$1:$I$166</definedName>
    <definedName name="Z_76ECB78A_7CDD_46D1_8666_1706A28EB544_.wvu.PrintArea" localSheetId="24" hidden="1">'Limpeza Insp Campo Largo'!$A$1:$I$166</definedName>
    <definedName name="Z_76ECB78A_7CDD_46D1_8666_1706A28EB544_.wvu.PrintArea" localSheetId="25" hidden="1">'Limpeza Insp Campo Mourão'!$A$1:$I$166</definedName>
    <definedName name="Z_76ECB78A_7CDD_46D1_8666_1706A28EB544_.wvu.PrintArea" localSheetId="26" hidden="1">'Limpeza Insp Castro'!$A$1:$I$166</definedName>
    <definedName name="Z_76ECB78A_7CDD_46D1_8666_1706A28EB544_.wvu.PrintArea" localSheetId="27" hidden="1">'Limpeza Insp Cianorte'!$A$1:$I$166</definedName>
    <definedName name="Z_76ECB78A_7CDD_46D1_8666_1706A28EB544_.wvu.PrintArea" localSheetId="28" hidden="1">'Limpeza Insp Cornélio Proc.'!$A$1:$I$166</definedName>
    <definedName name="Z_76ECB78A_7CDD_46D1_8666_1706A28EB544_.wvu.PrintArea" localSheetId="29" hidden="1">'Limpeza Insp Foz do Iguaçu'!$A$1:$I$166</definedName>
    <definedName name="Z_76ECB78A_7CDD_46D1_8666_1706A28EB544_.wvu.PrintArea" localSheetId="30" hidden="1">'Limpeza Insp Francisco Belt.'!$A$1:$I$166</definedName>
    <definedName name="Z_76ECB78A_7CDD_46D1_8666_1706A28EB544_.wvu.PrintArea" localSheetId="31" hidden="1">'Limpeza Insp Ibaiti'!$A$1:$I$166</definedName>
    <definedName name="Z_76ECB78A_7CDD_46D1_8666_1706A28EB544_.wvu.PrintArea" localSheetId="32" hidden="1">'Limpeza Insp Irati'!$A$1:$I$166</definedName>
    <definedName name="Z_76ECB78A_7CDD_46D1_8666_1706A28EB544_.wvu.PrintArea" localSheetId="33" hidden="1">'Limpeza Insp Ivaiporã'!$A$1:$I$166</definedName>
    <definedName name="Z_76ECB78A_7CDD_46D1_8666_1706A28EB544_.wvu.PrintArea" localSheetId="34" hidden="1">'Limpeza Insp Jacarezinho'!$A$1:$I$166</definedName>
    <definedName name="Z_76ECB78A_7CDD_46D1_8666_1706A28EB544_.wvu.PrintArea" localSheetId="35" hidden="1">'Limpeza Insp Mal Cândido Ron'!$A$1:$I$166</definedName>
    <definedName name="Z_76ECB78A_7CDD_46D1_8666_1706A28EB544_.wvu.PrintArea" localSheetId="36" hidden="1">'Limpeza Insp Medianeira'!$A$1:$I$166</definedName>
    <definedName name="Z_76ECB78A_7CDD_46D1_8666_1706A28EB544_.wvu.PrintArea" localSheetId="37" hidden="1">'Limpeza Insp Palmas'!$A$1:$I$166</definedName>
    <definedName name="Z_76ECB78A_7CDD_46D1_8666_1706A28EB544_.wvu.PrintArea" localSheetId="38" hidden="1">'Limpeza Insp Paranaguá'!$A$1:$I$166</definedName>
    <definedName name="Z_76ECB78A_7CDD_46D1_8666_1706A28EB544_.wvu.PrintArea" localSheetId="39" hidden="1">'Limpeza Insp Paranavaí'!$A$1:$I$166</definedName>
    <definedName name="Z_76ECB78A_7CDD_46D1_8666_1706A28EB544_.wvu.PrintArea" localSheetId="40" hidden="1">'Limpeza Insp Realeza'!$A$1:$I$166</definedName>
    <definedName name="Z_76ECB78A_7CDD_46D1_8666_1706A28EB544_.wvu.PrintArea" localSheetId="41" hidden="1">'Limpeza Insp Rio Negro'!$A$1:$I$166</definedName>
    <definedName name="Z_76ECB78A_7CDD_46D1_8666_1706A28EB544_.wvu.PrintArea" localSheetId="43" hidden="1">'Limpeza Insp São José Pinhais'!$A$1:$I$166</definedName>
    <definedName name="Z_76ECB78A_7CDD_46D1_8666_1706A28EB544_.wvu.PrintArea" localSheetId="42" hidden="1">'Limpeza Insp Sto Ant Platina'!$A$1:$I$166</definedName>
    <definedName name="Z_76ECB78A_7CDD_46D1_8666_1706A28EB544_.wvu.PrintArea" localSheetId="44" hidden="1">'Limpeza Insp Telêmaco Borba'!$A$1:$I$166</definedName>
    <definedName name="Z_76ECB78A_7CDD_46D1_8666_1706A28EB544_.wvu.PrintArea" localSheetId="45" hidden="1">'Limpeza Insp Toledo'!$A$1:$I$166</definedName>
    <definedName name="Z_76ECB78A_7CDD_46D1_8666_1706A28EB544_.wvu.PrintArea" localSheetId="46" hidden="1">'Limpeza Insp Umuarama'!$A$1:$I$166</definedName>
    <definedName name="Z_76ECB78A_7CDD_46D1_8666_1706A28EB544_.wvu.PrintArea" localSheetId="47" hidden="1">'Limpeza Insp União Vitória'!$A$1:$I$166</definedName>
    <definedName name="Z_76ECB78A_7CDD_46D1_8666_1706A28EB544_.wvu.PrintArea" localSheetId="14" hidden="1">'Limpeza Regional Apucarana '!$A$1:$I$178</definedName>
    <definedName name="Z_76ECB78A_7CDD_46D1_8666_1706A28EB544_.wvu.PrintArea" localSheetId="15" hidden="1">'Limpeza Regional Cascavel'!$A$1:$I$178</definedName>
    <definedName name="Z_76ECB78A_7CDD_46D1_8666_1706A28EB544_.wvu.PrintArea" localSheetId="13" hidden="1">'Limpeza Regional Curitiba'!$A$1:$I$178</definedName>
    <definedName name="Z_76ECB78A_7CDD_46D1_8666_1706A28EB544_.wvu.PrintArea" localSheetId="16" hidden="1">'Limpeza Regional Guarapuava '!$A$1:$I$168</definedName>
    <definedName name="Z_76ECB78A_7CDD_46D1_8666_1706A28EB544_.wvu.PrintArea" localSheetId="17" hidden="1">'Limpeza Regional Londrina'!$A$1:$I$180</definedName>
    <definedName name="Z_76ECB78A_7CDD_46D1_8666_1706A28EB544_.wvu.PrintArea" localSheetId="18" hidden="1">'Limpeza Regional Maringá'!$A$1:$I$178</definedName>
    <definedName name="Z_76ECB78A_7CDD_46D1_8666_1706A28EB544_.wvu.PrintArea" localSheetId="19" hidden="1">'Limpeza Regional Pato Branco '!$A$1:$I$168</definedName>
    <definedName name="Z_76ECB78A_7CDD_46D1_8666_1706A28EB544_.wvu.PrintArea" localSheetId="20" hidden="1">'Limpeza Regional Ponta Gros '!$A$1:$I$178</definedName>
    <definedName name="Z_76ECB78A_7CDD_46D1_8666_1706A28EB544_.wvu.PrintArea" localSheetId="12" hidden="1">'Limpeza Sede Administrativa '!$A$1:$I$220</definedName>
    <definedName name="Z_76ECB78A_7CDD_46D1_8666_1706A28EB544_.wvu.PrintArea" localSheetId="4" hidden="1">'Motorista 1 (44h) '!$A$1:$I$166</definedName>
    <definedName name="Z_76ECB78A_7CDD_46D1_8666_1706A28EB544_.wvu.PrintArea" localSheetId="5" hidden="1">'Motorista 2 (44h)  '!$A$1:$I$166</definedName>
    <definedName name="Z_76ECB78A_7CDD_46D1_8666_1706A28EB544_.wvu.PrintArea" localSheetId="8" hidden="1">'Portaria Diurno Mgá (40h) '!$A$1:$I$166</definedName>
    <definedName name="Z_76ECB78A_7CDD_46D1_8666_1706A28EB544_.wvu.PrintArea" localSheetId="7" hidden="1">'Portaria Diurno SEDE (40h)'!$A$1:$I$165</definedName>
    <definedName name="Z_76ECB78A_7CDD_46D1_8666_1706A28EB544_.wvu.PrintArea" localSheetId="6" hidden="1">'Portaria Diurno Temp. SED (40h)'!$A$1:$I$165</definedName>
    <definedName name="Z_76ECB78A_7CDD_46D1_8666_1706A28EB544_.wvu.PrintArea" localSheetId="3" hidden="1">'Recepção (40h) '!$A$1:$I$166</definedName>
    <definedName name="Z_76ECB78A_7CDD_46D1_8666_1706A28EB544_.wvu.PrintArea" localSheetId="2" hidden="1">'Resumo Geral '!$A$1:$D$94</definedName>
    <definedName name="Z_76ECB78A_7CDD_46D1_8666_1706A28EB544_.wvu.PrintArea" localSheetId="48" hidden="1">Uniformes!$A$1:$H$48</definedName>
    <definedName name="Z_7AD910D7_FBD5_40ED_8BA7_40BE0FBC3F4B_.wvu.Cols" localSheetId="2" hidden="1">'Resumo Geral '!#REF!</definedName>
    <definedName name="Z_7AD910D7_FBD5_40ED_8BA7_40BE0FBC3F4B_.wvu.PrintArea" localSheetId="50" hidden="1">'Aux. Manut. Pred. - EPIs '!$A$1:$F$11</definedName>
    <definedName name="Z_7AD910D7_FBD5_40ED_8BA7_40BE0FBC3F4B_.wvu.PrintArea" localSheetId="9" hidden="1">'Aux. Manut. Pred. (40h) '!$A$1:$I$166</definedName>
    <definedName name="Z_7AD910D7_FBD5_40ED_8BA7_40BE0FBC3F4B_.wvu.PrintArea" localSheetId="49" hidden="1">'Limpeza - EPIs e EPCs '!$A$1:$G$18</definedName>
    <definedName name="Z_7AD910D7_FBD5_40ED_8BA7_40BE0FBC3F4B_.wvu.PrintArea" localSheetId="51" hidden="1">'Limpeza - Materiais '!$A$1:$AU$42</definedName>
    <definedName name="Z_7AD910D7_FBD5_40ED_8BA7_40BE0FBC3F4B_.wvu.PrintArea" localSheetId="21" hidden="1">'Limpeza Água Verde '!$A$1:$I$166</definedName>
    <definedName name="Z_7AD910D7_FBD5_40ED_8BA7_40BE0FBC3F4B_.wvu.PrintArea" localSheetId="22" hidden="1">'Limpeza Insp Arapongas '!$A$1:$I$166</definedName>
    <definedName name="Z_7AD910D7_FBD5_40ED_8BA7_40BE0FBC3F4B_.wvu.PrintArea" localSheetId="23" hidden="1">'Limpeza Insp Bandeirantes'!$A$1:$I$166</definedName>
    <definedName name="Z_7AD910D7_FBD5_40ED_8BA7_40BE0FBC3F4B_.wvu.PrintArea" localSheetId="24" hidden="1">'Limpeza Insp Campo Largo'!$A$1:$I$166</definedName>
    <definedName name="Z_7AD910D7_FBD5_40ED_8BA7_40BE0FBC3F4B_.wvu.PrintArea" localSheetId="25" hidden="1">'Limpeza Insp Campo Mourão'!$A$1:$I$166</definedName>
    <definedName name="Z_7AD910D7_FBD5_40ED_8BA7_40BE0FBC3F4B_.wvu.PrintArea" localSheetId="26" hidden="1">'Limpeza Insp Castro'!$A$1:$I$166</definedName>
    <definedName name="Z_7AD910D7_FBD5_40ED_8BA7_40BE0FBC3F4B_.wvu.PrintArea" localSheetId="27" hidden="1">'Limpeza Insp Cianorte'!$A$1:$I$166</definedName>
    <definedName name="Z_7AD910D7_FBD5_40ED_8BA7_40BE0FBC3F4B_.wvu.PrintArea" localSheetId="28" hidden="1">'Limpeza Insp Cornélio Proc.'!$A$1:$I$166</definedName>
    <definedName name="Z_7AD910D7_FBD5_40ED_8BA7_40BE0FBC3F4B_.wvu.PrintArea" localSheetId="29" hidden="1">'Limpeza Insp Foz do Iguaçu'!$A$1:$I$166</definedName>
    <definedName name="Z_7AD910D7_FBD5_40ED_8BA7_40BE0FBC3F4B_.wvu.PrintArea" localSheetId="30" hidden="1">'Limpeza Insp Francisco Belt.'!$A$1:$I$166</definedName>
    <definedName name="Z_7AD910D7_FBD5_40ED_8BA7_40BE0FBC3F4B_.wvu.PrintArea" localSheetId="31" hidden="1">'Limpeza Insp Ibaiti'!$A$1:$I$166</definedName>
    <definedName name="Z_7AD910D7_FBD5_40ED_8BA7_40BE0FBC3F4B_.wvu.PrintArea" localSheetId="32" hidden="1">'Limpeza Insp Irati'!$A$1:$I$166</definedName>
    <definedName name="Z_7AD910D7_FBD5_40ED_8BA7_40BE0FBC3F4B_.wvu.PrintArea" localSheetId="33" hidden="1">'Limpeza Insp Ivaiporã'!$A$1:$I$166</definedName>
    <definedName name="Z_7AD910D7_FBD5_40ED_8BA7_40BE0FBC3F4B_.wvu.PrintArea" localSheetId="34" hidden="1">'Limpeza Insp Jacarezinho'!$A$1:$I$166</definedName>
    <definedName name="Z_7AD910D7_FBD5_40ED_8BA7_40BE0FBC3F4B_.wvu.PrintArea" localSheetId="35" hidden="1">'Limpeza Insp Mal Cândido Ron'!$A$1:$I$166</definedName>
    <definedName name="Z_7AD910D7_FBD5_40ED_8BA7_40BE0FBC3F4B_.wvu.PrintArea" localSheetId="36" hidden="1">'Limpeza Insp Medianeira'!$A$1:$I$166</definedName>
    <definedName name="Z_7AD910D7_FBD5_40ED_8BA7_40BE0FBC3F4B_.wvu.PrintArea" localSheetId="37" hidden="1">'Limpeza Insp Palmas'!$A$1:$I$166</definedName>
    <definedName name="Z_7AD910D7_FBD5_40ED_8BA7_40BE0FBC3F4B_.wvu.PrintArea" localSheetId="38" hidden="1">'Limpeza Insp Paranaguá'!$A$1:$I$166</definedName>
    <definedName name="Z_7AD910D7_FBD5_40ED_8BA7_40BE0FBC3F4B_.wvu.PrintArea" localSheetId="39" hidden="1">'Limpeza Insp Paranavaí'!$A$1:$I$166</definedName>
    <definedName name="Z_7AD910D7_FBD5_40ED_8BA7_40BE0FBC3F4B_.wvu.PrintArea" localSheetId="40" hidden="1">'Limpeza Insp Realeza'!$A$1:$I$166</definedName>
    <definedName name="Z_7AD910D7_FBD5_40ED_8BA7_40BE0FBC3F4B_.wvu.PrintArea" localSheetId="41" hidden="1">'Limpeza Insp Rio Negro'!$A$1:$I$166</definedName>
    <definedName name="Z_7AD910D7_FBD5_40ED_8BA7_40BE0FBC3F4B_.wvu.PrintArea" localSheetId="43" hidden="1">'Limpeza Insp São José Pinhais'!$A$1:$I$166</definedName>
    <definedName name="Z_7AD910D7_FBD5_40ED_8BA7_40BE0FBC3F4B_.wvu.PrintArea" localSheetId="42" hidden="1">'Limpeza Insp Sto Ant Platina'!$A$1:$I$166</definedName>
    <definedName name="Z_7AD910D7_FBD5_40ED_8BA7_40BE0FBC3F4B_.wvu.PrintArea" localSheetId="44" hidden="1">'Limpeza Insp Telêmaco Borba'!$A$1:$I$166</definedName>
    <definedName name="Z_7AD910D7_FBD5_40ED_8BA7_40BE0FBC3F4B_.wvu.PrintArea" localSheetId="45" hidden="1">'Limpeza Insp Toledo'!$A$1:$I$166</definedName>
    <definedName name="Z_7AD910D7_FBD5_40ED_8BA7_40BE0FBC3F4B_.wvu.PrintArea" localSheetId="46" hidden="1">'Limpeza Insp Umuarama'!$A$1:$I$166</definedName>
    <definedName name="Z_7AD910D7_FBD5_40ED_8BA7_40BE0FBC3F4B_.wvu.PrintArea" localSheetId="47" hidden="1">'Limpeza Insp União Vitória'!$A$1:$I$166</definedName>
    <definedName name="Z_7AD910D7_FBD5_40ED_8BA7_40BE0FBC3F4B_.wvu.PrintArea" localSheetId="14" hidden="1">'Limpeza Regional Apucarana '!$A$1:$I$178</definedName>
    <definedName name="Z_7AD910D7_FBD5_40ED_8BA7_40BE0FBC3F4B_.wvu.PrintArea" localSheetId="15" hidden="1">'Limpeza Regional Cascavel'!$A$1:$I$178</definedName>
    <definedName name="Z_7AD910D7_FBD5_40ED_8BA7_40BE0FBC3F4B_.wvu.PrintArea" localSheetId="13" hidden="1">'Limpeza Regional Curitiba'!$A$1:$I$178</definedName>
    <definedName name="Z_7AD910D7_FBD5_40ED_8BA7_40BE0FBC3F4B_.wvu.PrintArea" localSheetId="16" hidden="1">'Limpeza Regional Guarapuava '!$A$1:$I$168</definedName>
    <definedName name="Z_7AD910D7_FBD5_40ED_8BA7_40BE0FBC3F4B_.wvu.PrintArea" localSheetId="17" hidden="1">'Limpeza Regional Londrina'!$A$1:$I$180</definedName>
    <definedName name="Z_7AD910D7_FBD5_40ED_8BA7_40BE0FBC3F4B_.wvu.PrintArea" localSheetId="18" hidden="1">'Limpeza Regional Maringá'!$A$1:$I$178</definedName>
    <definedName name="Z_7AD910D7_FBD5_40ED_8BA7_40BE0FBC3F4B_.wvu.PrintArea" localSheetId="19" hidden="1">'Limpeza Regional Pato Branco '!$A$1:$I$168</definedName>
    <definedName name="Z_7AD910D7_FBD5_40ED_8BA7_40BE0FBC3F4B_.wvu.PrintArea" localSheetId="20" hidden="1">'Limpeza Regional Ponta Gros '!$A$1:$I$178</definedName>
    <definedName name="Z_7AD910D7_FBD5_40ED_8BA7_40BE0FBC3F4B_.wvu.PrintArea" localSheetId="12" hidden="1">'Limpeza Sede Administrativa '!$A$1:$I$220</definedName>
    <definedName name="Z_7AD910D7_FBD5_40ED_8BA7_40BE0FBC3F4B_.wvu.PrintArea" localSheetId="4" hidden="1">'Motorista 1 (44h) '!$A$1:$I$166</definedName>
    <definedName name="Z_7AD910D7_FBD5_40ED_8BA7_40BE0FBC3F4B_.wvu.PrintArea" localSheetId="5" hidden="1">'Motorista 2 (44h)  '!$A$1:$I$166</definedName>
    <definedName name="Z_7AD910D7_FBD5_40ED_8BA7_40BE0FBC3F4B_.wvu.PrintArea" localSheetId="8" hidden="1">'Portaria Diurno Mgá (40h) '!$A$1:$I$166</definedName>
    <definedName name="Z_7AD910D7_FBD5_40ED_8BA7_40BE0FBC3F4B_.wvu.PrintArea" localSheetId="7" hidden="1">'Portaria Diurno SEDE (40h)'!$A$1:$I$165</definedName>
    <definedName name="Z_7AD910D7_FBD5_40ED_8BA7_40BE0FBC3F4B_.wvu.PrintArea" localSheetId="6" hidden="1">'Portaria Diurno Temp. SED (40h)'!$A$1:$I$165</definedName>
    <definedName name="Z_7AD910D7_FBD5_40ED_8BA7_40BE0FBC3F4B_.wvu.PrintArea" localSheetId="3" hidden="1">'Recepção (40h) '!$A$1:$I$166</definedName>
    <definedName name="Z_7AD910D7_FBD5_40ED_8BA7_40BE0FBC3F4B_.wvu.PrintArea" localSheetId="2" hidden="1">'Resumo Geral '!$A$1:$D$94</definedName>
    <definedName name="Z_7AD910D7_FBD5_40ED_8BA7_40BE0FBC3F4B_.wvu.PrintArea" localSheetId="48" hidden="1">Uniformes!$A$1:$H$48</definedName>
    <definedName name="Z_7D072CBA_4F2D_4FAE_88D9_B6A678BA20E4_.wvu.Cols" localSheetId="2" hidden="1">'Resumo Geral '!#REF!</definedName>
    <definedName name="Z_7D072CBA_4F2D_4FAE_88D9_B6A678BA20E4_.wvu.PrintArea" localSheetId="50" hidden="1">'Aux. Manut. Pred. - EPIs '!$A$1:$F$11</definedName>
    <definedName name="Z_7D072CBA_4F2D_4FAE_88D9_B6A678BA20E4_.wvu.PrintArea" localSheetId="9" hidden="1">'Aux. Manut. Pred. (40h) '!$A$1:$I$166</definedName>
    <definedName name="Z_7D072CBA_4F2D_4FAE_88D9_B6A678BA20E4_.wvu.PrintArea" localSheetId="49" hidden="1">'Limpeza - EPIs e EPCs '!$A$1:$G$18</definedName>
    <definedName name="Z_7D072CBA_4F2D_4FAE_88D9_B6A678BA20E4_.wvu.PrintArea" localSheetId="51" hidden="1">'Limpeza - Materiais '!$A$1:$AU$42</definedName>
    <definedName name="Z_7D072CBA_4F2D_4FAE_88D9_B6A678BA20E4_.wvu.PrintArea" localSheetId="21" hidden="1">'Limpeza Água Verde '!$A$1:$I$166</definedName>
    <definedName name="Z_7D072CBA_4F2D_4FAE_88D9_B6A678BA20E4_.wvu.PrintArea" localSheetId="22" hidden="1">'Limpeza Insp Arapongas '!$A$1:$I$166</definedName>
    <definedName name="Z_7D072CBA_4F2D_4FAE_88D9_B6A678BA20E4_.wvu.PrintArea" localSheetId="23" hidden="1">'Limpeza Insp Bandeirantes'!$A$1:$I$166</definedName>
    <definedName name="Z_7D072CBA_4F2D_4FAE_88D9_B6A678BA20E4_.wvu.PrintArea" localSheetId="24" hidden="1">'Limpeza Insp Campo Largo'!$A$1:$I$166</definedName>
    <definedName name="Z_7D072CBA_4F2D_4FAE_88D9_B6A678BA20E4_.wvu.PrintArea" localSheetId="25" hidden="1">'Limpeza Insp Campo Mourão'!$A$1:$I$166</definedName>
    <definedName name="Z_7D072CBA_4F2D_4FAE_88D9_B6A678BA20E4_.wvu.PrintArea" localSheetId="26" hidden="1">'Limpeza Insp Castro'!$A$1:$I$166</definedName>
    <definedName name="Z_7D072CBA_4F2D_4FAE_88D9_B6A678BA20E4_.wvu.PrintArea" localSheetId="27" hidden="1">'Limpeza Insp Cianorte'!$A$1:$I$166</definedName>
    <definedName name="Z_7D072CBA_4F2D_4FAE_88D9_B6A678BA20E4_.wvu.PrintArea" localSheetId="28" hidden="1">'Limpeza Insp Cornélio Proc.'!$A$1:$I$166</definedName>
    <definedName name="Z_7D072CBA_4F2D_4FAE_88D9_B6A678BA20E4_.wvu.PrintArea" localSheetId="29" hidden="1">'Limpeza Insp Foz do Iguaçu'!$A$1:$I$166</definedName>
    <definedName name="Z_7D072CBA_4F2D_4FAE_88D9_B6A678BA20E4_.wvu.PrintArea" localSheetId="30" hidden="1">'Limpeza Insp Francisco Belt.'!$A$1:$I$166</definedName>
    <definedName name="Z_7D072CBA_4F2D_4FAE_88D9_B6A678BA20E4_.wvu.PrintArea" localSheetId="31" hidden="1">'Limpeza Insp Ibaiti'!$A$1:$I$166</definedName>
    <definedName name="Z_7D072CBA_4F2D_4FAE_88D9_B6A678BA20E4_.wvu.PrintArea" localSheetId="32" hidden="1">'Limpeza Insp Irati'!$A$1:$I$166</definedName>
    <definedName name="Z_7D072CBA_4F2D_4FAE_88D9_B6A678BA20E4_.wvu.PrintArea" localSheetId="33" hidden="1">'Limpeza Insp Ivaiporã'!$A$1:$I$166</definedName>
    <definedName name="Z_7D072CBA_4F2D_4FAE_88D9_B6A678BA20E4_.wvu.PrintArea" localSheetId="34" hidden="1">'Limpeza Insp Jacarezinho'!$A$1:$I$166</definedName>
    <definedName name="Z_7D072CBA_4F2D_4FAE_88D9_B6A678BA20E4_.wvu.PrintArea" localSheetId="35" hidden="1">'Limpeza Insp Mal Cândido Ron'!$A$1:$I$166</definedName>
    <definedName name="Z_7D072CBA_4F2D_4FAE_88D9_B6A678BA20E4_.wvu.PrintArea" localSheetId="36" hidden="1">'Limpeza Insp Medianeira'!$A$1:$I$166</definedName>
    <definedName name="Z_7D072CBA_4F2D_4FAE_88D9_B6A678BA20E4_.wvu.PrintArea" localSheetId="37" hidden="1">'Limpeza Insp Palmas'!$A$1:$I$166</definedName>
    <definedName name="Z_7D072CBA_4F2D_4FAE_88D9_B6A678BA20E4_.wvu.PrintArea" localSheetId="38" hidden="1">'Limpeza Insp Paranaguá'!$A$1:$I$166</definedName>
    <definedName name="Z_7D072CBA_4F2D_4FAE_88D9_B6A678BA20E4_.wvu.PrintArea" localSheetId="39" hidden="1">'Limpeza Insp Paranavaí'!$A$1:$I$166</definedName>
    <definedName name="Z_7D072CBA_4F2D_4FAE_88D9_B6A678BA20E4_.wvu.PrintArea" localSheetId="40" hidden="1">'Limpeza Insp Realeza'!$A$1:$I$166</definedName>
    <definedName name="Z_7D072CBA_4F2D_4FAE_88D9_B6A678BA20E4_.wvu.PrintArea" localSheetId="41" hidden="1">'Limpeza Insp Rio Negro'!$A$1:$I$166</definedName>
    <definedName name="Z_7D072CBA_4F2D_4FAE_88D9_B6A678BA20E4_.wvu.PrintArea" localSheetId="43" hidden="1">'Limpeza Insp São José Pinhais'!$A$1:$I$166</definedName>
    <definedName name="Z_7D072CBA_4F2D_4FAE_88D9_B6A678BA20E4_.wvu.PrintArea" localSheetId="42" hidden="1">'Limpeza Insp Sto Ant Platina'!$A$1:$I$166</definedName>
    <definedName name="Z_7D072CBA_4F2D_4FAE_88D9_B6A678BA20E4_.wvu.PrintArea" localSheetId="44" hidden="1">'Limpeza Insp Telêmaco Borba'!$A$1:$I$166</definedName>
    <definedName name="Z_7D072CBA_4F2D_4FAE_88D9_B6A678BA20E4_.wvu.PrintArea" localSheetId="45" hidden="1">'Limpeza Insp Toledo'!$A$1:$I$166</definedName>
    <definedName name="Z_7D072CBA_4F2D_4FAE_88D9_B6A678BA20E4_.wvu.PrintArea" localSheetId="46" hidden="1">'Limpeza Insp Umuarama'!$A$1:$I$166</definedName>
    <definedName name="Z_7D072CBA_4F2D_4FAE_88D9_B6A678BA20E4_.wvu.PrintArea" localSheetId="47" hidden="1">'Limpeza Insp União Vitória'!$A$1:$I$166</definedName>
    <definedName name="Z_7D072CBA_4F2D_4FAE_88D9_B6A678BA20E4_.wvu.PrintArea" localSheetId="14" hidden="1">'Limpeza Regional Apucarana '!$A$1:$I$178</definedName>
    <definedName name="Z_7D072CBA_4F2D_4FAE_88D9_B6A678BA20E4_.wvu.PrintArea" localSheetId="15" hidden="1">'Limpeza Regional Cascavel'!$A$1:$I$178</definedName>
    <definedName name="Z_7D072CBA_4F2D_4FAE_88D9_B6A678BA20E4_.wvu.PrintArea" localSheetId="13" hidden="1">'Limpeza Regional Curitiba'!$A$1:$I$178</definedName>
    <definedName name="Z_7D072CBA_4F2D_4FAE_88D9_B6A678BA20E4_.wvu.PrintArea" localSheetId="16" hidden="1">'Limpeza Regional Guarapuava '!$A$1:$I$168</definedName>
    <definedName name="Z_7D072CBA_4F2D_4FAE_88D9_B6A678BA20E4_.wvu.PrintArea" localSheetId="17" hidden="1">'Limpeza Regional Londrina'!$A$1:$I$180</definedName>
    <definedName name="Z_7D072CBA_4F2D_4FAE_88D9_B6A678BA20E4_.wvu.PrintArea" localSheetId="18" hidden="1">'Limpeza Regional Maringá'!$A$1:$I$178</definedName>
    <definedName name="Z_7D072CBA_4F2D_4FAE_88D9_B6A678BA20E4_.wvu.PrintArea" localSheetId="19" hidden="1">'Limpeza Regional Pato Branco '!$A$1:$I$168</definedName>
    <definedName name="Z_7D072CBA_4F2D_4FAE_88D9_B6A678BA20E4_.wvu.PrintArea" localSheetId="20" hidden="1">'Limpeza Regional Ponta Gros '!$A$1:$I$178</definedName>
    <definedName name="Z_7D072CBA_4F2D_4FAE_88D9_B6A678BA20E4_.wvu.PrintArea" localSheetId="12" hidden="1">'Limpeza Sede Administrativa '!$A$1:$I$220</definedName>
    <definedName name="Z_7D072CBA_4F2D_4FAE_88D9_B6A678BA20E4_.wvu.PrintArea" localSheetId="4" hidden="1">'Motorista 1 (44h) '!$A$1:$I$166</definedName>
    <definedName name="Z_7D072CBA_4F2D_4FAE_88D9_B6A678BA20E4_.wvu.PrintArea" localSheetId="5" hidden="1">'Motorista 2 (44h)  '!$A$1:$I$166</definedName>
    <definedName name="Z_7D072CBA_4F2D_4FAE_88D9_B6A678BA20E4_.wvu.PrintArea" localSheetId="8" hidden="1">'Portaria Diurno Mgá (40h) '!$A$1:$I$166</definedName>
    <definedName name="Z_7D072CBA_4F2D_4FAE_88D9_B6A678BA20E4_.wvu.PrintArea" localSheetId="7" hidden="1">'Portaria Diurno SEDE (40h)'!$A$1:$I$165</definedName>
    <definedName name="Z_7D072CBA_4F2D_4FAE_88D9_B6A678BA20E4_.wvu.PrintArea" localSheetId="6" hidden="1">'Portaria Diurno Temp. SED (40h)'!$A$1:$I$165</definedName>
    <definedName name="Z_7D072CBA_4F2D_4FAE_88D9_B6A678BA20E4_.wvu.PrintArea" localSheetId="0" hidden="1">proposta!$A$1:$A$31</definedName>
    <definedName name="Z_7D072CBA_4F2D_4FAE_88D9_B6A678BA20E4_.wvu.PrintArea" localSheetId="3" hidden="1">'Recepção (40h) '!$A$1:$I$166</definedName>
    <definedName name="Z_7D072CBA_4F2D_4FAE_88D9_B6A678BA20E4_.wvu.PrintArea" localSheetId="2" hidden="1">'Resumo Geral '!$A$1:$D$94</definedName>
    <definedName name="Z_7D072CBA_4F2D_4FAE_88D9_B6A678BA20E4_.wvu.PrintArea" localSheetId="48" hidden="1">Uniformes!$A$1:$H$48</definedName>
    <definedName name="Z_E52CD1FC_BC62_45DA_B0AB_D94F42ADC76D_.wvu.Cols" localSheetId="2" hidden="1">'Resumo Geral '!#REF!</definedName>
    <definedName name="Z_E52CD1FC_BC62_45DA_B0AB_D94F42ADC76D_.wvu.PrintArea" localSheetId="50" hidden="1">'Aux. Manut. Pred. - EPIs '!$A$1:$F$11</definedName>
    <definedName name="Z_E52CD1FC_BC62_45DA_B0AB_D94F42ADC76D_.wvu.PrintArea" localSheetId="9" hidden="1">'Aux. Manut. Pred. (40h) '!$A$1:$I$166</definedName>
    <definedName name="Z_E52CD1FC_BC62_45DA_B0AB_D94F42ADC76D_.wvu.PrintArea" localSheetId="49" hidden="1">'Limpeza - EPIs e EPCs '!$A$1:$G$18</definedName>
    <definedName name="Z_E52CD1FC_BC62_45DA_B0AB_D94F42ADC76D_.wvu.PrintArea" localSheetId="51" hidden="1">'Limpeza - Materiais '!$A$1:$AU$42</definedName>
    <definedName name="Z_E52CD1FC_BC62_45DA_B0AB_D94F42ADC76D_.wvu.PrintArea" localSheetId="21" hidden="1">'Limpeza Água Verde '!$A$1:$I$166</definedName>
    <definedName name="Z_E52CD1FC_BC62_45DA_B0AB_D94F42ADC76D_.wvu.PrintArea" localSheetId="22" hidden="1">'Limpeza Insp Arapongas '!$A$1:$I$166</definedName>
    <definedName name="Z_E52CD1FC_BC62_45DA_B0AB_D94F42ADC76D_.wvu.PrintArea" localSheetId="23" hidden="1">'Limpeza Insp Bandeirantes'!$A$1:$I$166</definedName>
    <definedName name="Z_E52CD1FC_BC62_45DA_B0AB_D94F42ADC76D_.wvu.PrintArea" localSheetId="24" hidden="1">'Limpeza Insp Campo Largo'!$A$1:$I$166</definedName>
    <definedName name="Z_E52CD1FC_BC62_45DA_B0AB_D94F42ADC76D_.wvu.PrintArea" localSheetId="25" hidden="1">'Limpeza Insp Campo Mourão'!$A$1:$I$166</definedName>
    <definedName name="Z_E52CD1FC_BC62_45DA_B0AB_D94F42ADC76D_.wvu.PrintArea" localSheetId="26" hidden="1">'Limpeza Insp Castro'!$A$1:$I$166</definedName>
    <definedName name="Z_E52CD1FC_BC62_45DA_B0AB_D94F42ADC76D_.wvu.PrintArea" localSheetId="27" hidden="1">'Limpeza Insp Cianorte'!$A$1:$I$166</definedName>
    <definedName name="Z_E52CD1FC_BC62_45DA_B0AB_D94F42ADC76D_.wvu.PrintArea" localSheetId="28" hidden="1">'Limpeza Insp Cornélio Proc.'!$A$1:$I$166</definedName>
    <definedName name="Z_E52CD1FC_BC62_45DA_B0AB_D94F42ADC76D_.wvu.PrintArea" localSheetId="29" hidden="1">'Limpeza Insp Foz do Iguaçu'!$A$1:$I$166</definedName>
    <definedName name="Z_E52CD1FC_BC62_45DA_B0AB_D94F42ADC76D_.wvu.PrintArea" localSheetId="30" hidden="1">'Limpeza Insp Francisco Belt.'!$A$1:$I$166</definedName>
    <definedName name="Z_E52CD1FC_BC62_45DA_B0AB_D94F42ADC76D_.wvu.PrintArea" localSheetId="31" hidden="1">'Limpeza Insp Ibaiti'!$A$1:$I$166</definedName>
    <definedName name="Z_E52CD1FC_BC62_45DA_B0AB_D94F42ADC76D_.wvu.PrintArea" localSheetId="32" hidden="1">'Limpeza Insp Irati'!$A$1:$I$166</definedName>
    <definedName name="Z_E52CD1FC_BC62_45DA_B0AB_D94F42ADC76D_.wvu.PrintArea" localSheetId="33" hidden="1">'Limpeza Insp Ivaiporã'!$A$1:$I$166</definedName>
    <definedName name="Z_E52CD1FC_BC62_45DA_B0AB_D94F42ADC76D_.wvu.PrintArea" localSheetId="34" hidden="1">'Limpeza Insp Jacarezinho'!$A$1:$I$166</definedName>
    <definedName name="Z_E52CD1FC_BC62_45DA_B0AB_D94F42ADC76D_.wvu.PrintArea" localSheetId="35" hidden="1">'Limpeza Insp Mal Cândido Ron'!$A$1:$I$166</definedName>
    <definedName name="Z_E52CD1FC_BC62_45DA_B0AB_D94F42ADC76D_.wvu.PrintArea" localSheetId="36" hidden="1">'Limpeza Insp Medianeira'!$A$1:$I$166</definedName>
    <definedName name="Z_E52CD1FC_BC62_45DA_B0AB_D94F42ADC76D_.wvu.PrintArea" localSheetId="37" hidden="1">'Limpeza Insp Palmas'!$A$1:$I$166</definedName>
    <definedName name="Z_E52CD1FC_BC62_45DA_B0AB_D94F42ADC76D_.wvu.PrintArea" localSheetId="38" hidden="1">'Limpeza Insp Paranaguá'!$A$1:$I$166</definedName>
    <definedName name="Z_E52CD1FC_BC62_45DA_B0AB_D94F42ADC76D_.wvu.PrintArea" localSheetId="39" hidden="1">'Limpeza Insp Paranavaí'!$A$1:$I$166</definedName>
    <definedName name="Z_E52CD1FC_BC62_45DA_B0AB_D94F42ADC76D_.wvu.PrintArea" localSheetId="40" hidden="1">'Limpeza Insp Realeza'!$A$1:$I$166</definedName>
    <definedName name="Z_E52CD1FC_BC62_45DA_B0AB_D94F42ADC76D_.wvu.PrintArea" localSheetId="41" hidden="1">'Limpeza Insp Rio Negro'!$A$1:$I$166</definedName>
    <definedName name="Z_E52CD1FC_BC62_45DA_B0AB_D94F42ADC76D_.wvu.PrintArea" localSheetId="43" hidden="1">'Limpeza Insp São José Pinhais'!$A$1:$I$166</definedName>
    <definedName name="Z_E52CD1FC_BC62_45DA_B0AB_D94F42ADC76D_.wvu.PrintArea" localSheetId="42" hidden="1">'Limpeza Insp Sto Ant Platina'!$A$1:$I$166</definedName>
    <definedName name="Z_E52CD1FC_BC62_45DA_B0AB_D94F42ADC76D_.wvu.PrintArea" localSheetId="44" hidden="1">'Limpeza Insp Telêmaco Borba'!$A$1:$I$166</definedName>
    <definedName name="Z_E52CD1FC_BC62_45DA_B0AB_D94F42ADC76D_.wvu.PrintArea" localSheetId="45" hidden="1">'Limpeza Insp Toledo'!$A$1:$I$166</definedName>
    <definedName name="Z_E52CD1FC_BC62_45DA_B0AB_D94F42ADC76D_.wvu.PrintArea" localSheetId="46" hidden="1">'Limpeza Insp Umuarama'!$A$1:$I$166</definedName>
    <definedName name="Z_E52CD1FC_BC62_45DA_B0AB_D94F42ADC76D_.wvu.PrintArea" localSheetId="47" hidden="1">'Limpeza Insp União Vitória'!$A$1:$I$166</definedName>
    <definedName name="Z_E52CD1FC_BC62_45DA_B0AB_D94F42ADC76D_.wvu.PrintArea" localSheetId="14" hidden="1">'Limpeza Regional Apucarana '!$A$1:$I$178</definedName>
    <definedName name="Z_E52CD1FC_BC62_45DA_B0AB_D94F42ADC76D_.wvu.PrintArea" localSheetId="15" hidden="1">'Limpeza Regional Cascavel'!$A$1:$I$178</definedName>
    <definedName name="Z_E52CD1FC_BC62_45DA_B0AB_D94F42ADC76D_.wvu.PrintArea" localSheetId="13" hidden="1">'Limpeza Regional Curitiba'!$A$1:$I$178</definedName>
    <definedName name="Z_E52CD1FC_BC62_45DA_B0AB_D94F42ADC76D_.wvu.PrintArea" localSheetId="16" hidden="1">'Limpeza Regional Guarapuava '!$A$1:$I$168</definedName>
    <definedName name="Z_E52CD1FC_BC62_45DA_B0AB_D94F42ADC76D_.wvu.PrintArea" localSheetId="17" hidden="1">'Limpeza Regional Londrina'!$A$1:$I$180</definedName>
    <definedName name="Z_E52CD1FC_BC62_45DA_B0AB_D94F42ADC76D_.wvu.PrintArea" localSheetId="18" hidden="1">'Limpeza Regional Maringá'!$A$1:$I$178</definedName>
    <definedName name="Z_E52CD1FC_BC62_45DA_B0AB_D94F42ADC76D_.wvu.PrintArea" localSheetId="19" hidden="1">'Limpeza Regional Pato Branco '!$A$1:$I$168</definedName>
    <definedName name="Z_E52CD1FC_BC62_45DA_B0AB_D94F42ADC76D_.wvu.PrintArea" localSheetId="20" hidden="1">'Limpeza Regional Ponta Gros '!$A$1:$I$178</definedName>
    <definedName name="Z_E52CD1FC_BC62_45DA_B0AB_D94F42ADC76D_.wvu.PrintArea" localSheetId="12" hidden="1">'Limpeza Sede Administrativa '!$A$1:$I$220</definedName>
    <definedName name="Z_E52CD1FC_BC62_45DA_B0AB_D94F42ADC76D_.wvu.PrintArea" localSheetId="4" hidden="1">'Motorista 1 (44h) '!$A$1:$I$166</definedName>
    <definedName name="Z_E52CD1FC_BC62_45DA_B0AB_D94F42ADC76D_.wvu.PrintArea" localSheetId="5" hidden="1">'Motorista 2 (44h)  '!$A$1:$I$166</definedName>
    <definedName name="Z_E52CD1FC_BC62_45DA_B0AB_D94F42ADC76D_.wvu.PrintArea" localSheetId="8" hidden="1">'Portaria Diurno Mgá (40h) '!$A$1:$I$166</definedName>
    <definedName name="Z_E52CD1FC_BC62_45DA_B0AB_D94F42ADC76D_.wvu.PrintArea" localSheetId="7" hidden="1">'Portaria Diurno SEDE (40h)'!$A$1:$I$165</definedName>
    <definedName name="Z_E52CD1FC_BC62_45DA_B0AB_D94F42ADC76D_.wvu.PrintArea" localSheetId="6" hidden="1">'Portaria Diurno Temp. SED (40h)'!$A$1:$I$165</definedName>
    <definedName name="Z_E52CD1FC_BC62_45DA_B0AB_D94F42ADC76D_.wvu.PrintArea" localSheetId="3" hidden="1">'Recepção (40h) '!$A$1:$I$166</definedName>
    <definedName name="Z_E52CD1FC_BC62_45DA_B0AB_D94F42ADC76D_.wvu.PrintArea" localSheetId="2" hidden="1">'Resumo Geral '!$A$1:$D$94</definedName>
    <definedName name="Z_E52CD1FC_BC62_45DA_B0AB_D94F42ADC76D_.wvu.PrintArea" localSheetId="48" hidden="1">Uniformes!$A$1:$H$48</definedName>
  </definedNames>
  <calcPr calcId="191029"/>
  <customWorkbookViews>
    <customWorkbookView name="Usuario - Modo de exibição pessoal" guid="{7D072CBA-4F2D-4FAE-88D9-B6A678BA20E4}" mergeInterval="0" personalView="1" maximized="1" xWindow="-8" yWindow="-8" windowWidth="1936" windowHeight="1056" tabRatio="934" activeSheetId="4"/>
    <customWorkbookView name="Claudeth Tiemi - Modo de exibição pessoal" guid="{E52CD1FC-BC62-45DA-B0AB-D94F42ADC76D}" mergeInterval="0" personalView="1" maximized="1" windowWidth="1920" windowHeight="893" tabRatio="934" activeSheetId="1"/>
    <customWorkbookView name="Oseias Ceciliano - Modo de exibição pessoal" guid="{7AD910D7-FBD5-40ED-8BA7-40BE0FBC3F4B}" mergeInterval="0" personalView="1" maximized="1" windowWidth="1920" windowHeight="803" tabRatio="934" activeSheetId="1" showComments="commIndAndComment"/>
    <customWorkbookView name="Sandro Luis Marangoni - Modo de exibição pessoal" guid="{76ECB78A-7CDD-46D1-8666-1706A28EB544}" mergeInterval="0" personalView="1" maximized="1" windowWidth="1916" windowHeight="854" tabRatio="934" activeSheetId="1"/>
    <customWorkbookView name="Bianca Cenedesi - Modo de exibição pessoal" guid="{418E0683-5E85-4E09-83DB-7513FB73C39E}" mergeInterval="0" personalView="1" maximized="1" xWindow="-8" yWindow="-8" windowWidth="1936" windowHeight="1056" tabRatio="934" activeSheetId="6"/>
  </customWorkbookViews>
</workbook>
</file>

<file path=xl/calcChain.xml><?xml version="1.0" encoding="utf-8"?>
<calcChain xmlns="http://schemas.openxmlformats.org/spreadsheetml/2006/main">
  <c r="A1" i="1" l="1" a="1"/>
  <c r="A1" i="1" s="1"/>
  <c r="I31" i="11"/>
  <c r="I31" i="82"/>
  <c r="I31" i="81"/>
  <c r="C208" i="9"/>
  <c r="I31" i="79"/>
  <c r="I31" i="80"/>
  <c r="I31" i="77"/>
  <c r="I31" i="78"/>
  <c r="I31" i="10"/>
  <c r="C209" i="82" l="1"/>
  <c r="C203" i="82"/>
  <c r="C209" i="81"/>
  <c r="C209" i="80"/>
  <c r="C203" i="80"/>
  <c r="C208" i="79"/>
  <c r="C202" i="79"/>
  <c r="C208" i="78"/>
  <c r="C208" i="77"/>
  <c r="C189" i="77"/>
  <c r="I32" i="63" l="1"/>
  <c r="I31" i="63"/>
  <c r="I31" i="43"/>
  <c r="I31" i="42"/>
  <c r="I31" i="41"/>
  <c r="I31" i="40"/>
  <c r="I31" i="39"/>
  <c r="I31" i="38"/>
  <c r="I31" i="37"/>
  <c r="I31" i="36"/>
  <c r="I31" i="35"/>
  <c r="I31" i="34"/>
  <c r="I31" i="33"/>
  <c r="I31" i="32"/>
  <c r="I31" i="31"/>
  <c r="I31" i="29"/>
  <c r="I31" i="28"/>
  <c r="I31" i="27"/>
  <c r="I31" i="26"/>
  <c r="I31" i="25"/>
  <c r="I31" i="24"/>
  <c r="I31" i="23"/>
  <c r="I31" i="22"/>
  <c r="I31" i="21"/>
  <c r="I31" i="20"/>
  <c r="I31" i="19"/>
  <c r="I31" i="18"/>
  <c r="I31" i="17"/>
  <c r="I31" i="16"/>
  <c r="F14" i="46"/>
  <c r="G14" i="46" s="1"/>
  <c r="J12" i="60" l="1"/>
  <c r="I12" i="60"/>
  <c r="E12" i="60"/>
  <c r="D12" i="60"/>
  <c r="C12" i="60"/>
  <c r="J11" i="60"/>
  <c r="I11" i="60"/>
  <c r="H11" i="60"/>
  <c r="G11" i="60"/>
  <c r="E11" i="60"/>
  <c r="D11" i="60"/>
  <c r="C11" i="60"/>
  <c r="J10" i="60"/>
  <c r="I10" i="60"/>
  <c r="E10" i="60"/>
  <c r="D10" i="60"/>
  <c r="C10" i="60"/>
  <c r="J9" i="60"/>
  <c r="I9" i="60"/>
  <c r="H9" i="60"/>
  <c r="G9" i="60"/>
  <c r="C9" i="60"/>
  <c r="J8" i="60"/>
  <c r="I8" i="60"/>
  <c r="H8" i="60"/>
  <c r="E8" i="60"/>
  <c r="D8" i="60"/>
  <c r="C8" i="60"/>
  <c r="J7" i="60"/>
  <c r="I7" i="60"/>
  <c r="H7" i="60"/>
  <c r="E7" i="60"/>
  <c r="D7" i="60"/>
  <c r="C7" i="60"/>
  <c r="J6" i="60"/>
  <c r="I6" i="60"/>
  <c r="H6" i="60"/>
  <c r="E6" i="60"/>
  <c r="D6" i="60"/>
  <c r="C6" i="60"/>
  <c r="J5" i="60"/>
  <c r="I5" i="60"/>
  <c r="H5" i="60"/>
  <c r="G5" i="60"/>
  <c r="N5" i="60" s="1"/>
  <c r="E5" i="60"/>
  <c r="D5" i="60"/>
  <c r="C5" i="60"/>
  <c r="N11" i="60" l="1"/>
  <c r="N9" i="60"/>
  <c r="Y10" i="57" l="1"/>
  <c r="X10" i="57"/>
  <c r="E9" i="60" s="1"/>
  <c r="W10" i="57"/>
  <c r="D9" i="60" s="1"/>
  <c r="L10" i="57" l="1"/>
  <c r="E10" i="57"/>
  <c r="D10" i="57"/>
  <c r="G10" i="57" l="1"/>
  <c r="A51" i="1"/>
  <c r="A50" i="1"/>
  <c r="A9" i="1"/>
  <c r="A6" i="1"/>
  <c r="A5" i="1"/>
  <c r="BF12" i="45"/>
  <c r="BD12" i="45"/>
  <c r="BB12" i="45"/>
  <c r="BF10" i="45"/>
  <c r="BD10" i="45"/>
  <c r="BB10" i="45"/>
  <c r="BF9" i="45"/>
  <c r="BD9" i="45"/>
  <c r="BB9" i="45"/>
  <c r="BF6" i="45"/>
  <c r="BD6" i="45"/>
  <c r="BB6" i="45"/>
  <c r="BF5" i="45"/>
  <c r="BD5" i="45"/>
  <c r="BB5" i="45"/>
  <c r="BF4" i="45"/>
  <c r="BD4" i="45"/>
  <c r="BB4" i="45"/>
  <c r="H217" i="9"/>
  <c r="H215" i="9"/>
  <c r="H214" i="9"/>
  <c r="E219" i="9"/>
  <c r="I219" i="9" s="1"/>
  <c r="E208" i="9"/>
  <c r="E207" i="9"/>
  <c r="C207" i="9"/>
  <c r="E202" i="9"/>
  <c r="C202" i="9"/>
  <c r="E201" i="9"/>
  <c r="C201" i="9"/>
  <c r="C196" i="9"/>
  <c r="C195" i="9"/>
  <c r="C190" i="9"/>
  <c r="C189" i="9"/>
  <c r="C184" i="9"/>
  <c r="C183" i="9"/>
  <c r="I32" i="9"/>
  <c r="A20" i="1"/>
  <c r="A18" i="1"/>
  <c r="A17" i="1"/>
  <c r="H216" i="80"/>
  <c r="A14" i="1"/>
  <c r="H219" i="79"/>
  <c r="H215" i="79"/>
  <c r="A13" i="1"/>
  <c r="A12" i="1"/>
  <c r="H215" i="77"/>
  <c r="Z6" i="57"/>
  <c r="Z7" i="57"/>
  <c r="Z8" i="57"/>
  <c r="Z10" i="57"/>
  <c r="Z11" i="57"/>
  <c r="Z12" i="57"/>
  <c r="Z13" i="57"/>
  <c r="Z5" i="57"/>
  <c r="H216" i="82"/>
  <c r="H215" i="82"/>
  <c r="E220" i="82"/>
  <c r="I220" i="82" s="1"/>
  <c r="E209" i="82"/>
  <c r="E208" i="82"/>
  <c r="C208" i="82"/>
  <c r="E203" i="82"/>
  <c r="E202" i="82"/>
  <c r="C202" i="82"/>
  <c r="F202" i="82" s="1"/>
  <c r="C197" i="82"/>
  <c r="C196" i="82"/>
  <c r="C191" i="82"/>
  <c r="C190" i="82"/>
  <c r="C185" i="82"/>
  <c r="C184" i="82"/>
  <c r="I174" i="82"/>
  <c r="I160" i="82"/>
  <c r="F166" i="82" s="1"/>
  <c r="D160" i="82"/>
  <c r="A166" i="82" s="1"/>
  <c r="A151" i="82"/>
  <c r="B146" i="82"/>
  <c r="B144" i="82"/>
  <c r="B143" i="82"/>
  <c r="B142" i="82"/>
  <c r="B141" i="82"/>
  <c r="B140" i="82"/>
  <c r="H136" i="82"/>
  <c r="H106" i="82"/>
  <c r="H98" i="82"/>
  <c r="H97" i="82"/>
  <c r="H96" i="82"/>
  <c r="H95" i="82"/>
  <c r="H87" i="82"/>
  <c r="H89" i="82" s="1"/>
  <c r="H86" i="82"/>
  <c r="H84" i="82"/>
  <c r="H85" i="82" s="1"/>
  <c r="I71" i="82"/>
  <c r="I67" i="82"/>
  <c r="I66" i="82"/>
  <c r="I63" i="82"/>
  <c r="H62" i="82"/>
  <c r="H61" i="82"/>
  <c r="H57" i="82"/>
  <c r="H88" i="82" s="1"/>
  <c r="H45" i="82"/>
  <c r="I33" i="82"/>
  <c r="H218" i="81"/>
  <c r="H216" i="81"/>
  <c r="H215" i="81"/>
  <c r="E220" i="81"/>
  <c r="I220" i="81" s="1"/>
  <c r="E209" i="81"/>
  <c r="E208" i="81"/>
  <c r="C208" i="81"/>
  <c r="F208" i="81" s="1"/>
  <c r="E203" i="81"/>
  <c r="C203" i="81"/>
  <c r="E202" i="81"/>
  <c r="C202" i="81"/>
  <c r="F202" i="81" s="1"/>
  <c r="C197" i="81"/>
  <c r="C196" i="81"/>
  <c r="C191" i="81"/>
  <c r="C190" i="81"/>
  <c r="C185" i="81"/>
  <c r="C184" i="81"/>
  <c r="I160" i="81"/>
  <c r="F163" i="81" s="1"/>
  <c r="H163" i="81" s="1"/>
  <c r="G166" i="81" s="1"/>
  <c r="D160" i="81"/>
  <c r="A166" i="81" s="1"/>
  <c r="A151" i="81"/>
  <c r="B146" i="81"/>
  <c r="B144" i="81"/>
  <c r="B143" i="81"/>
  <c r="B142" i="81"/>
  <c r="B141" i="81"/>
  <c r="B140" i="81"/>
  <c r="H136" i="81"/>
  <c r="H106" i="81"/>
  <c r="H98" i="81"/>
  <c r="H97" i="81"/>
  <c r="H96" i="81"/>
  <c r="H95" i="81"/>
  <c r="H87" i="81"/>
  <c r="H89" i="81" s="1"/>
  <c r="H86" i="81"/>
  <c r="H84" i="81"/>
  <c r="I71" i="81"/>
  <c r="I67" i="81"/>
  <c r="I66" i="81"/>
  <c r="I63" i="81"/>
  <c r="H62" i="81"/>
  <c r="H61" i="81"/>
  <c r="H57" i="81"/>
  <c r="H99" i="81" s="1"/>
  <c r="H45" i="81"/>
  <c r="I33" i="81"/>
  <c r="I38" i="81" s="1"/>
  <c r="H218" i="80"/>
  <c r="H217" i="80"/>
  <c r="H215" i="80"/>
  <c r="E220" i="80"/>
  <c r="I220" i="80" s="1"/>
  <c r="E209" i="80"/>
  <c r="F209" i="80"/>
  <c r="E208" i="80"/>
  <c r="C208" i="80"/>
  <c r="E203" i="80"/>
  <c r="E202" i="80"/>
  <c r="C202" i="80"/>
  <c r="F202" i="80" s="1"/>
  <c r="C197" i="80"/>
  <c r="C196" i="80"/>
  <c r="C191" i="80"/>
  <c r="C190" i="80"/>
  <c r="C185" i="80"/>
  <c r="C184" i="80"/>
  <c r="A163" i="80"/>
  <c r="C163" i="80" s="1"/>
  <c r="B166" i="80" s="1"/>
  <c r="I174" i="80"/>
  <c r="I160" i="80"/>
  <c r="F166" i="80" s="1"/>
  <c r="D160" i="80"/>
  <c r="A166" i="80" s="1"/>
  <c r="A151" i="80"/>
  <c r="B146" i="80"/>
  <c r="B144" i="80"/>
  <c r="B143" i="80"/>
  <c r="B142" i="80"/>
  <c r="B141" i="80"/>
  <c r="B140" i="80"/>
  <c r="H136" i="80"/>
  <c r="H106" i="80"/>
  <c r="H98" i="80"/>
  <c r="H97" i="80"/>
  <c r="H96" i="80"/>
  <c r="H95" i="80"/>
  <c r="H87" i="80"/>
  <c r="H89" i="80" s="1"/>
  <c r="H86" i="80"/>
  <c r="H84" i="80"/>
  <c r="H85" i="80" s="1"/>
  <c r="I71" i="80"/>
  <c r="I67" i="80"/>
  <c r="I66" i="80"/>
  <c r="I63" i="80"/>
  <c r="H62" i="80"/>
  <c r="H61" i="80"/>
  <c r="H57" i="80"/>
  <c r="H88" i="80" s="1"/>
  <c r="H45" i="80"/>
  <c r="H217" i="79"/>
  <c r="H216" i="79"/>
  <c r="H214" i="79"/>
  <c r="E219" i="79"/>
  <c r="E208" i="79"/>
  <c r="F208" i="79" s="1"/>
  <c r="E207" i="79"/>
  <c r="C207" i="79"/>
  <c r="E202" i="79"/>
  <c r="E201" i="79"/>
  <c r="C201" i="79"/>
  <c r="C196" i="79"/>
  <c r="C195" i="79"/>
  <c r="C190" i="79"/>
  <c r="C189" i="79"/>
  <c r="C184" i="79"/>
  <c r="C183" i="79"/>
  <c r="I33" i="79"/>
  <c r="I38" i="79" s="1"/>
  <c r="I174" i="79"/>
  <c r="I160" i="79"/>
  <c r="F163" i="79" s="1"/>
  <c r="H163" i="79" s="1"/>
  <c r="G166" i="79" s="1"/>
  <c r="D160" i="79"/>
  <c r="A166" i="79" s="1"/>
  <c r="A151" i="79"/>
  <c r="B146" i="79"/>
  <c r="B144" i="79"/>
  <c r="B143" i="79"/>
  <c r="B142" i="79"/>
  <c r="B141" i="79"/>
  <c r="B140" i="79"/>
  <c r="H136" i="79"/>
  <c r="H106" i="79"/>
  <c r="H98" i="79"/>
  <c r="H97" i="79"/>
  <c r="H96" i="79"/>
  <c r="H95" i="79"/>
  <c r="H88" i="79"/>
  <c r="H87" i="79"/>
  <c r="H89" i="79" s="1"/>
  <c r="H86" i="79"/>
  <c r="H84" i="79"/>
  <c r="H85" i="79" s="1"/>
  <c r="I71" i="79"/>
  <c r="I67" i="79"/>
  <c r="I66" i="79"/>
  <c r="I63" i="79"/>
  <c r="H62" i="79"/>
  <c r="H61" i="79"/>
  <c r="H57" i="79"/>
  <c r="H99" i="79" s="1"/>
  <c r="H45" i="79"/>
  <c r="H219" i="78"/>
  <c r="H218" i="78"/>
  <c r="H217" i="78"/>
  <c r="H214" i="78"/>
  <c r="H215" i="78"/>
  <c r="E219" i="78"/>
  <c r="E208" i="78"/>
  <c r="E207" i="78"/>
  <c r="C207" i="78"/>
  <c r="E202" i="78"/>
  <c r="C202" i="78"/>
  <c r="E201" i="78"/>
  <c r="C201" i="78"/>
  <c r="C190" i="78"/>
  <c r="C189" i="78"/>
  <c r="C184" i="78"/>
  <c r="C183" i="78"/>
  <c r="F208" i="80" l="1"/>
  <c r="F207" i="79"/>
  <c r="F203" i="82"/>
  <c r="F202" i="9"/>
  <c r="F208" i="82"/>
  <c r="F209" i="82"/>
  <c r="F208" i="9"/>
  <c r="F202" i="78"/>
  <c r="F203" i="80"/>
  <c r="F201" i="79"/>
  <c r="F163" i="80"/>
  <c r="H163" i="80" s="1"/>
  <c r="G166" i="80" s="1"/>
  <c r="F201" i="9"/>
  <c r="F207" i="9"/>
  <c r="F163" i="82"/>
  <c r="H163" i="82" s="1"/>
  <c r="G166" i="82" s="1"/>
  <c r="H166" i="82" s="1"/>
  <c r="I62" i="82" s="1"/>
  <c r="H90" i="82"/>
  <c r="H99" i="82"/>
  <c r="H101" i="82" s="1"/>
  <c r="I38" i="82"/>
  <c r="A163" i="82"/>
  <c r="C163" i="82" s="1"/>
  <c r="B166" i="82" s="1"/>
  <c r="C166" i="82" s="1"/>
  <c r="I61" i="82" s="1"/>
  <c r="F203" i="81"/>
  <c r="F209" i="81"/>
  <c r="H88" i="81"/>
  <c r="I88" i="81" s="1"/>
  <c r="H101" i="81"/>
  <c r="I140" i="81"/>
  <c r="I105" i="81"/>
  <c r="I106" i="81" s="1"/>
  <c r="I111" i="81" s="1"/>
  <c r="I89" i="81"/>
  <c r="I87" i="81"/>
  <c r="I43" i="81"/>
  <c r="I44" i="81"/>
  <c r="I86" i="81"/>
  <c r="I84" i="81"/>
  <c r="F166" i="81"/>
  <c r="H166" i="81" s="1"/>
  <c r="I62" i="81" s="1"/>
  <c r="A163" i="81"/>
  <c r="C163" i="81" s="1"/>
  <c r="B166" i="81" s="1"/>
  <c r="C166" i="81" s="1"/>
  <c r="I61" i="81" s="1"/>
  <c r="H85" i="81"/>
  <c r="I85" i="81" s="1"/>
  <c r="H166" i="80"/>
  <c r="I62" i="80" s="1"/>
  <c r="C166" i="80"/>
  <c r="I61" i="80" s="1"/>
  <c r="H99" i="80"/>
  <c r="H101" i="80" s="1"/>
  <c r="I33" i="80"/>
  <c r="I38" i="80" s="1"/>
  <c r="H90" i="80"/>
  <c r="A163" i="79"/>
  <c r="C163" i="79" s="1"/>
  <c r="B166" i="79" s="1"/>
  <c r="C166" i="79" s="1"/>
  <c r="I61" i="79" s="1"/>
  <c r="F202" i="79"/>
  <c r="I140" i="79"/>
  <c r="I105" i="79"/>
  <c r="I106" i="79" s="1"/>
  <c r="I111" i="79" s="1"/>
  <c r="I89" i="79"/>
  <c r="I87" i="79"/>
  <c r="I44" i="79"/>
  <c r="I88" i="79"/>
  <c r="I86" i="79"/>
  <c r="I84" i="79"/>
  <c r="I43" i="79"/>
  <c r="I85" i="79"/>
  <c r="H101" i="79"/>
  <c r="F166" i="79"/>
  <c r="H166" i="79" s="1"/>
  <c r="I62" i="79" s="1"/>
  <c r="H90" i="79"/>
  <c r="I219" i="78"/>
  <c r="F201" i="78"/>
  <c r="E215" i="78"/>
  <c r="I215" i="78" s="1"/>
  <c r="E208" i="77"/>
  <c r="F208" i="77" s="1"/>
  <c r="I73" i="81" l="1"/>
  <c r="I79" i="81" s="1"/>
  <c r="H90" i="81"/>
  <c r="I73" i="80"/>
  <c r="I79" i="80" s="1"/>
  <c r="I73" i="82"/>
  <c r="I79" i="82" s="1"/>
  <c r="I140" i="82"/>
  <c r="I89" i="82"/>
  <c r="I86" i="82"/>
  <c r="I88" i="82"/>
  <c r="I84" i="82"/>
  <c r="I105" i="82"/>
  <c r="I106" i="82" s="1"/>
  <c r="I111" i="82" s="1"/>
  <c r="I87" i="82"/>
  <c r="I44" i="82"/>
  <c r="I43" i="82"/>
  <c r="I85" i="82"/>
  <c r="I45" i="81"/>
  <c r="I50" i="81" s="1"/>
  <c r="I90" i="81"/>
  <c r="I142" i="81" s="1"/>
  <c r="I44" i="80"/>
  <c r="I88" i="80"/>
  <c r="I86" i="80"/>
  <c r="I84" i="80"/>
  <c r="I43" i="80"/>
  <c r="I140" i="80"/>
  <c r="I105" i="80"/>
  <c r="I106" i="80" s="1"/>
  <c r="I111" i="80" s="1"/>
  <c r="I89" i="80"/>
  <c r="I87" i="80"/>
  <c r="I85" i="80"/>
  <c r="I45" i="79"/>
  <c r="I90" i="79"/>
  <c r="I142" i="79" s="1"/>
  <c r="I73" i="79"/>
  <c r="I79" i="79" s="1"/>
  <c r="E217" i="78"/>
  <c r="I217" i="78" s="1"/>
  <c r="E218" i="78"/>
  <c r="I218" i="78" s="1"/>
  <c r="E202" i="77"/>
  <c r="C202" i="77"/>
  <c r="C196" i="77"/>
  <c r="C190" i="77"/>
  <c r="C184" i="77"/>
  <c r="I45" i="80" l="1"/>
  <c r="I77" i="80" s="1"/>
  <c r="F202" i="77"/>
  <c r="I45" i="82"/>
  <c r="I77" i="82" s="1"/>
  <c r="I90" i="82"/>
  <c r="I142" i="82" s="1"/>
  <c r="I77" i="81"/>
  <c r="I54" i="81"/>
  <c r="I52" i="81"/>
  <c r="I51" i="81"/>
  <c r="I55" i="81"/>
  <c r="I56" i="81"/>
  <c r="I53" i="81"/>
  <c r="I49" i="81"/>
  <c r="I51" i="80"/>
  <c r="I50" i="80"/>
  <c r="I90" i="80"/>
  <c r="I142" i="80" s="1"/>
  <c r="I55" i="80"/>
  <c r="I52" i="80"/>
  <c r="I49" i="80"/>
  <c r="I54" i="80"/>
  <c r="I56" i="80"/>
  <c r="I53" i="80"/>
  <c r="I77" i="79"/>
  <c r="I52" i="79"/>
  <c r="I54" i="79"/>
  <c r="I50" i="79"/>
  <c r="I56" i="79"/>
  <c r="I51" i="79"/>
  <c r="I53" i="79"/>
  <c r="I55" i="79"/>
  <c r="I49" i="79"/>
  <c r="H217" i="77"/>
  <c r="E219" i="77"/>
  <c r="I219" i="77" s="1"/>
  <c r="I51" i="82" l="1"/>
  <c r="I56" i="82"/>
  <c r="I53" i="82"/>
  <c r="I54" i="82"/>
  <c r="I50" i="82"/>
  <c r="I55" i="82"/>
  <c r="I52" i="82"/>
  <c r="I49" i="82"/>
  <c r="I57" i="81"/>
  <c r="I78" i="81" s="1"/>
  <c r="I80" i="81" s="1"/>
  <c r="I99" i="81" s="1"/>
  <c r="I57" i="80"/>
  <c r="I78" i="80" s="1"/>
  <c r="I80" i="80" s="1"/>
  <c r="I57" i="79"/>
  <c r="I78" i="79" s="1"/>
  <c r="I80" i="79" s="1"/>
  <c r="E207" i="77"/>
  <c r="I32" i="78"/>
  <c r="A163" i="78"/>
  <c r="C163" i="78" s="1"/>
  <c r="B166" i="78" s="1"/>
  <c r="I174" i="78"/>
  <c r="I160" i="78"/>
  <c r="F166" i="78" s="1"/>
  <c r="D160" i="78"/>
  <c r="A166" i="78" s="1"/>
  <c r="A151" i="78"/>
  <c r="B146" i="78"/>
  <c r="B144" i="78"/>
  <c r="B143" i="78"/>
  <c r="B142" i="78"/>
  <c r="B141" i="78"/>
  <c r="B140" i="78"/>
  <c r="H136" i="78"/>
  <c r="H106" i="78"/>
  <c r="H98" i="78"/>
  <c r="H97" i="78"/>
  <c r="H96" i="78"/>
  <c r="H95" i="78"/>
  <c r="H87" i="78"/>
  <c r="H89" i="78" s="1"/>
  <c r="H86" i="78"/>
  <c r="H84" i="78"/>
  <c r="H85" i="78" s="1"/>
  <c r="I71" i="78"/>
  <c r="I67" i="78"/>
  <c r="I66" i="78"/>
  <c r="I63" i="78"/>
  <c r="H62" i="78"/>
  <c r="H61" i="78"/>
  <c r="H57" i="78"/>
  <c r="H99" i="78" s="1"/>
  <c r="H45" i="78"/>
  <c r="E201" i="77"/>
  <c r="I57" i="82" l="1"/>
  <c r="I78" i="82" s="1"/>
  <c r="I80" i="82" s="1"/>
  <c r="I96" i="82" s="1"/>
  <c r="I95" i="81"/>
  <c r="I141" i="81"/>
  <c r="I98" i="81"/>
  <c r="I100" i="81"/>
  <c r="I97" i="81"/>
  <c r="I96" i="81"/>
  <c r="I141" i="80"/>
  <c r="I96" i="80"/>
  <c r="I99" i="80"/>
  <c r="I97" i="80"/>
  <c r="I95" i="80"/>
  <c r="I98" i="80"/>
  <c r="I100" i="80"/>
  <c r="I98" i="79"/>
  <c r="I95" i="79"/>
  <c r="I96" i="79"/>
  <c r="I99" i="79"/>
  <c r="I97" i="79"/>
  <c r="I141" i="79"/>
  <c r="I100" i="79"/>
  <c r="H101" i="78"/>
  <c r="F163" i="78"/>
  <c r="H163" i="78" s="1"/>
  <c r="G166" i="78" s="1"/>
  <c r="H166" i="78" s="1"/>
  <c r="I62" i="78" s="1"/>
  <c r="C166" i="78"/>
  <c r="I61" i="78" s="1"/>
  <c r="I33" i="78"/>
  <c r="I38" i="78" s="1"/>
  <c r="H88" i="78"/>
  <c r="H90" i="78" s="1"/>
  <c r="I98" i="82" l="1"/>
  <c r="I95" i="82"/>
  <c r="I141" i="82"/>
  <c r="I99" i="82"/>
  <c r="I100" i="82"/>
  <c r="I97" i="82"/>
  <c r="I101" i="81"/>
  <c r="I110" i="81" s="1"/>
  <c r="I112" i="81" s="1"/>
  <c r="I143" i="81" s="1"/>
  <c r="I101" i="80"/>
  <c r="I110" i="80" s="1"/>
  <c r="I112" i="80" s="1"/>
  <c r="I143" i="80" s="1"/>
  <c r="I101" i="79"/>
  <c r="I110" i="79" s="1"/>
  <c r="I112" i="79" s="1"/>
  <c r="I143" i="79" s="1"/>
  <c r="I73" i="78"/>
  <c r="I79" i="78" s="1"/>
  <c r="I88" i="78"/>
  <c r="I84" i="78"/>
  <c r="I43" i="78"/>
  <c r="I44" i="78"/>
  <c r="I140" i="78"/>
  <c r="I105" i="78"/>
  <c r="I106" i="78" s="1"/>
  <c r="I111" i="78" s="1"/>
  <c r="I89" i="78"/>
  <c r="I87" i="78"/>
  <c r="I86" i="78"/>
  <c r="I85" i="78"/>
  <c r="I101" i="82" l="1"/>
  <c r="I110" i="82" s="1"/>
  <c r="I112" i="82" s="1"/>
  <c r="I143" i="82" s="1"/>
  <c r="I90" i="78"/>
  <c r="I142" i="78" s="1"/>
  <c r="I45" i="78"/>
  <c r="I77" i="78" l="1"/>
  <c r="I53" i="78"/>
  <c r="I52" i="78"/>
  <c r="I51" i="78"/>
  <c r="I54" i="78"/>
  <c r="I50" i="78"/>
  <c r="I56" i="78"/>
  <c r="I49" i="78"/>
  <c r="I55" i="78"/>
  <c r="I57" i="78" l="1"/>
  <c r="I78" i="78" s="1"/>
  <c r="I80" i="78" s="1"/>
  <c r="I141" i="78" l="1"/>
  <c r="I95" i="78"/>
  <c r="I100" i="78"/>
  <c r="I99" i="78"/>
  <c r="I98" i="78"/>
  <c r="I97" i="78"/>
  <c r="I96" i="78"/>
  <c r="I101" i="78" l="1"/>
  <c r="I110" i="78" s="1"/>
  <c r="I112" i="78" s="1"/>
  <c r="I143" i="78" s="1"/>
  <c r="I32" i="77" l="1"/>
  <c r="I34" i="77"/>
  <c r="H214" i="77"/>
  <c r="C207" i="77"/>
  <c r="F207" i="77" s="1"/>
  <c r="C201" i="77"/>
  <c r="F201" i="77" s="1"/>
  <c r="C195" i="77"/>
  <c r="C183" i="77"/>
  <c r="I174" i="77"/>
  <c r="I160" i="77"/>
  <c r="F163" i="77" s="1"/>
  <c r="H163" i="77" s="1"/>
  <c r="G166" i="77" s="1"/>
  <c r="D160" i="77"/>
  <c r="A166" i="77" s="1"/>
  <c r="A151" i="77"/>
  <c r="B146" i="77"/>
  <c r="B144" i="77"/>
  <c r="B143" i="77"/>
  <c r="B142" i="77"/>
  <c r="B141" i="77"/>
  <c r="B140" i="77"/>
  <c r="H136" i="77"/>
  <c r="H106" i="77"/>
  <c r="H98" i="77"/>
  <c r="H97" i="77"/>
  <c r="H96" i="77"/>
  <c r="H95" i="77"/>
  <c r="H87" i="77"/>
  <c r="H89" i="77" s="1"/>
  <c r="H86" i="77"/>
  <c r="H84" i="77"/>
  <c r="H85" i="77" s="1"/>
  <c r="I71" i="77"/>
  <c r="I67" i="77"/>
  <c r="I66" i="77"/>
  <c r="I63" i="77"/>
  <c r="H62" i="77"/>
  <c r="H61" i="77"/>
  <c r="H57" i="77"/>
  <c r="H45" i="77"/>
  <c r="H88" i="77" l="1"/>
  <c r="I33" i="77"/>
  <c r="I38" i="77" s="1"/>
  <c r="H90" i="77"/>
  <c r="F166" i="77"/>
  <c r="H166" i="77" s="1"/>
  <c r="I62" i="77" s="1"/>
  <c r="A163" i="77"/>
  <c r="C163" i="77" s="1"/>
  <c r="B166" i="77" s="1"/>
  <c r="C166" i="77" s="1"/>
  <c r="I61" i="77" s="1"/>
  <c r="H99" i="77"/>
  <c r="H101" i="77" s="1"/>
  <c r="I44" i="77" l="1"/>
  <c r="I85" i="77"/>
  <c r="I89" i="77"/>
  <c r="I87" i="77"/>
  <c r="I43" i="77"/>
  <c r="I45" i="77" s="1"/>
  <c r="I55" i="77" s="1"/>
  <c r="I86" i="77"/>
  <c r="I84" i="77"/>
  <c r="I105" i="77"/>
  <c r="I106" i="77" s="1"/>
  <c r="I111" i="77" s="1"/>
  <c r="I88" i="77"/>
  <c r="I140" i="77"/>
  <c r="I73" i="77"/>
  <c r="I79" i="77" s="1"/>
  <c r="I90" i="77" l="1"/>
  <c r="I142" i="77" s="1"/>
  <c r="I56" i="77"/>
  <c r="I54" i="77"/>
  <c r="I50" i="77"/>
  <c r="I52" i="77"/>
  <c r="I49" i="77"/>
  <c r="I53" i="77"/>
  <c r="I77" i="77"/>
  <c r="I51" i="77"/>
  <c r="I57" i="77" l="1"/>
  <c r="I78" i="77" s="1"/>
  <c r="I80" i="77" s="1"/>
  <c r="I141" i="77" s="1"/>
  <c r="I99" i="77" l="1"/>
  <c r="I100" i="77"/>
  <c r="I97" i="77"/>
  <c r="I96" i="77"/>
  <c r="I95" i="77"/>
  <c r="I98" i="77"/>
  <c r="AI12" i="57"/>
  <c r="AI5" i="57"/>
  <c r="AI10" i="57"/>
  <c r="I101" i="77" l="1"/>
  <c r="I110" i="77" s="1"/>
  <c r="I112" i="77" s="1"/>
  <c r="I143" i="77" s="1"/>
  <c r="D51" i="1" l="1"/>
  <c r="D50" i="1"/>
  <c r="I160" i="76"/>
  <c r="F166" i="76" s="1"/>
  <c r="D160" i="76"/>
  <c r="A166" i="76" s="1"/>
  <c r="I152" i="76"/>
  <c r="C152" i="76"/>
  <c r="A151" i="76"/>
  <c r="B146" i="76"/>
  <c r="B144" i="76"/>
  <c r="B143" i="76"/>
  <c r="B142" i="76"/>
  <c r="B141" i="76"/>
  <c r="B140" i="76"/>
  <c r="H136" i="76"/>
  <c r="H106" i="76"/>
  <c r="H98" i="76"/>
  <c r="H97" i="76"/>
  <c r="H96" i="76"/>
  <c r="H95" i="76"/>
  <c r="H87" i="76"/>
  <c r="H89" i="76" s="1"/>
  <c r="H86" i="76"/>
  <c r="H84" i="76"/>
  <c r="I72" i="76"/>
  <c r="I71" i="76"/>
  <c r="I69" i="76"/>
  <c r="I67" i="76"/>
  <c r="I66" i="76"/>
  <c r="I63" i="76"/>
  <c r="H62" i="76"/>
  <c r="H61" i="76"/>
  <c r="H57" i="76"/>
  <c r="H45" i="76"/>
  <c r="I31" i="76"/>
  <c r="F170" i="76" s="1"/>
  <c r="I33" i="76" l="1"/>
  <c r="H88" i="76"/>
  <c r="F171" i="76"/>
  <c r="F172" i="76" s="1"/>
  <c r="F173" i="76" s="1"/>
  <c r="G170" i="76" s="1"/>
  <c r="A163" i="76"/>
  <c r="C163" i="76" s="1"/>
  <c r="B166" i="76" s="1"/>
  <c r="C166" i="76" s="1"/>
  <c r="I61" i="76" s="1"/>
  <c r="H85" i="76"/>
  <c r="H99" i="76"/>
  <c r="H101" i="76" s="1"/>
  <c r="F174" i="76"/>
  <c r="G174" i="76" s="1"/>
  <c r="I174" i="76" s="1"/>
  <c r="G36" i="76" s="1"/>
  <c r="I36" i="76" s="1"/>
  <c r="F163" i="76"/>
  <c r="H163" i="76" s="1"/>
  <c r="G166" i="76" s="1"/>
  <c r="H166" i="76" s="1"/>
  <c r="I62" i="76" s="1"/>
  <c r="F169" i="76"/>
  <c r="G169" i="76" s="1"/>
  <c r="I31" i="51"/>
  <c r="H90" i="76" l="1"/>
  <c r="H170" i="76"/>
  <c r="I170" i="76" s="1"/>
  <c r="I35" i="76" s="1"/>
  <c r="H169" i="76"/>
  <c r="I169" i="76" s="1"/>
  <c r="I34" i="76" s="1"/>
  <c r="I73" i="76"/>
  <c r="I79" i="76" s="1"/>
  <c r="I38" i="76" l="1"/>
  <c r="I105" i="76" s="1"/>
  <c r="I106" i="76" s="1"/>
  <c r="I111" i="76" s="1"/>
  <c r="AT26" i="45"/>
  <c r="AT4" i="45"/>
  <c r="AT11" i="45"/>
  <c r="AT5" i="45"/>
  <c r="AT7" i="45"/>
  <c r="AT16" i="45"/>
  <c r="AT36" i="45"/>
  <c r="AT28" i="45"/>
  <c r="AT32" i="45"/>
  <c r="I88" i="76" l="1"/>
  <c r="I84" i="76"/>
  <c r="I86" i="76"/>
  <c r="I140" i="76"/>
  <c r="I43" i="76"/>
  <c r="I87" i="76"/>
  <c r="I85" i="76"/>
  <c r="I89" i="76"/>
  <c r="I44" i="76"/>
  <c r="I45" i="76" l="1"/>
  <c r="I90" i="76"/>
  <c r="I142" i="76" s="1"/>
  <c r="I77" i="76"/>
  <c r="I54" i="76"/>
  <c r="I53" i="76"/>
  <c r="I56" i="76"/>
  <c r="I51" i="76"/>
  <c r="I50" i="76"/>
  <c r="I49" i="76"/>
  <c r="I52" i="76"/>
  <c r="I55" i="76"/>
  <c r="BF39" i="45"/>
  <c r="BD39" i="45"/>
  <c r="BB39" i="45"/>
  <c r="BF38" i="45"/>
  <c r="BD38" i="45"/>
  <c r="BB38" i="45"/>
  <c r="BF37" i="45"/>
  <c r="BD37" i="45"/>
  <c r="BB37" i="45"/>
  <c r="BF36" i="45"/>
  <c r="BD36" i="45"/>
  <c r="BB36" i="45"/>
  <c r="BF35" i="45"/>
  <c r="BD35" i="45"/>
  <c r="BB35" i="45"/>
  <c r="BF34" i="45"/>
  <c r="BD34" i="45"/>
  <c r="BB34" i="45"/>
  <c r="BF33" i="45"/>
  <c r="BD33" i="45"/>
  <c r="BB33" i="45"/>
  <c r="BF32" i="45"/>
  <c r="BD32" i="45"/>
  <c r="BB32" i="45"/>
  <c r="BF30" i="45"/>
  <c r="BD30" i="45"/>
  <c r="BB30" i="45"/>
  <c r="BF29" i="45"/>
  <c r="BD29" i="45"/>
  <c r="BB29" i="45"/>
  <c r="BF28" i="45"/>
  <c r="BD28" i="45"/>
  <c r="BB28" i="45"/>
  <c r="BF27" i="45"/>
  <c r="BD27" i="45"/>
  <c r="BB27" i="45"/>
  <c r="BF26" i="45"/>
  <c r="BD26" i="45"/>
  <c r="BB26" i="45"/>
  <c r="BF25" i="45"/>
  <c r="BD25" i="45"/>
  <c r="BB25" i="45"/>
  <c r="BF24" i="45"/>
  <c r="BD24" i="45"/>
  <c r="BB24" i="45"/>
  <c r="BF23" i="45"/>
  <c r="BD23" i="45"/>
  <c r="BB23" i="45"/>
  <c r="BF22" i="45"/>
  <c r="BD22" i="45"/>
  <c r="BB22" i="45"/>
  <c r="BF21" i="45"/>
  <c r="BD21" i="45"/>
  <c r="BB21" i="45"/>
  <c r="BF20" i="45"/>
  <c r="BD20" i="45"/>
  <c r="BB20" i="45"/>
  <c r="BF19" i="45"/>
  <c r="BD19" i="45"/>
  <c r="BB19" i="45"/>
  <c r="BF18" i="45"/>
  <c r="BD18" i="45"/>
  <c r="BB18" i="45"/>
  <c r="BF17" i="45"/>
  <c r="BD17" i="45"/>
  <c r="BB17" i="45"/>
  <c r="BF16" i="45"/>
  <c r="BD16" i="45"/>
  <c r="BB16" i="45"/>
  <c r="BF15" i="45"/>
  <c r="BD15" i="45"/>
  <c r="BB15" i="45"/>
  <c r="BF14" i="45"/>
  <c r="BD14" i="45"/>
  <c r="BB14" i="45"/>
  <c r="BF13" i="45"/>
  <c r="BD13" i="45"/>
  <c r="BB13" i="45"/>
  <c r="BF31" i="45"/>
  <c r="BD31" i="45"/>
  <c r="BB31" i="45"/>
  <c r="BF11" i="45"/>
  <c r="BD11" i="45"/>
  <c r="BB11" i="45"/>
  <c r="BF8" i="45"/>
  <c r="BD8" i="45"/>
  <c r="BB8" i="45"/>
  <c r="BF7" i="45"/>
  <c r="BD7" i="45"/>
  <c r="BB7" i="45"/>
  <c r="AT6" i="45"/>
  <c r="AT8" i="45"/>
  <c r="AT9" i="45"/>
  <c r="AT10" i="45"/>
  <c r="AT12" i="45"/>
  <c r="AT13" i="45"/>
  <c r="AT14" i="45"/>
  <c r="AT15" i="45"/>
  <c r="AT17" i="45"/>
  <c r="AT18" i="45"/>
  <c r="AT19" i="45"/>
  <c r="AT20" i="45"/>
  <c r="AT21" i="45"/>
  <c r="AT22" i="45"/>
  <c r="AT23" i="45"/>
  <c r="AT24" i="45"/>
  <c r="AT25" i="45"/>
  <c r="AT27" i="45"/>
  <c r="AT29" i="45"/>
  <c r="AT30" i="45"/>
  <c r="AT31" i="45"/>
  <c r="AT33" i="45"/>
  <c r="AT34" i="45"/>
  <c r="AT35" i="45"/>
  <c r="AT37" i="45"/>
  <c r="AT38" i="45"/>
  <c r="AT39" i="45"/>
  <c r="H96" i="18"/>
  <c r="I57" i="76" l="1"/>
  <c r="I78" i="76" s="1"/>
  <c r="I80" i="76" s="1"/>
  <c r="G30" i="44"/>
  <c r="G31" i="44"/>
  <c r="G32" i="44"/>
  <c r="G33" i="44"/>
  <c r="G34" i="44"/>
  <c r="G35" i="44"/>
  <c r="G36" i="44"/>
  <c r="G24" i="44"/>
  <c r="H24" i="44" s="1"/>
  <c r="G23" i="44"/>
  <c r="H23" i="44" s="1"/>
  <c r="G22" i="44"/>
  <c r="H22" i="44" s="1"/>
  <c r="G21" i="44"/>
  <c r="H21" i="44" s="1"/>
  <c r="G20" i="44"/>
  <c r="H20" i="44" s="1"/>
  <c r="G19" i="44"/>
  <c r="H19" i="44" s="1"/>
  <c r="G18" i="44"/>
  <c r="H18" i="44" s="1"/>
  <c r="G17" i="44"/>
  <c r="H17" i="44" s="1"/>
  <c r="I141" i="76" l="1"/>
  <c r="I97" i="76"/>
  <c r="I95" i="76"/>
  <c r="I99" i="76"/>
  <c r="I96" i="76"/>
  <c r="I98" i="76"/>
  <c r="I100" i="76"/>
  <c r="G25" i="44"/>
  <c r="H25" i="44" s="1"/>
  <c r="I116" i="76" s="1"/>
  <c r="I120" i="76" s="1"/>
  <c r="I144" i="76" s="1"/>
  <c r="I101" i="76" l="1"/>
  <c r="I110" i="76" s="1"/>
  <c r="I112" i="76" s="1"/>
  <c r="I143" i="76" s="1"/>
  <c r="I145" i="76" s="1"/>
  <c r="I116" i="68"/>
  <c r="I116" i="67"/>
  <c r="I116" i="75"/>
  <c r="I116" i="4"/>
  <c r="I131" i="76" l="1"/>
  <c r="I130" i="76"/>
  <c r="I124" i="76"/>
  <c r="I135" i="76"/>
  <c r="I129" i="76"/>
  <c r="I133" i="76"/>
  <c r="I128" i="76"/>
  <c r="I125" i="76" l="1"/>
  <c r="I136" i="76" s="1"/>
  <c r="I146" i="76" s="1"/>
  <c r="I147" i="76" s="1"/>
  <c r="AV4" i="45"/>
  <c r="AW4" i="45" s="1"/>
  <c r="I40" i="45"/>
  <c r="I42" i="45" s="1"/>
  <c r="C151" i="76" l="1"/>
  <c r="F151" i="76"/>
  <c r="I151" i="76" s="1"/>
  <c r="I153" i="76" s="1"/>
  <c r="AX4" i="45"/>
  <c r="I154" i="76" l="1"/>
  <c r="D6" i="1" s="1"/>
  <c r="C6" i="1"/>
  <c r="AY4" i="45"/>
  <c r="D59" i="1"/>
  <c r="H96" i="43"/>
  <c r="H96" i="42"/>
  <c r="H96" i="41"/>
  <c r="H96" i="40"/>
  <c r="H96" i="39"/>
  <c r="H96" i="38"/>
  <c r="H96" i="37"/>
  <c r="H96" i="36"/>
  <c r="H96" i="35"/>
  <c r="H96" i="34"/>
  <c r="H96" i="33"/>
  <c r="H96" i="32"/>
  <c r="H96" i="31"/>
  <c r="H96" i="29"/>
  <c r="H96" i="28"/>
  <c r="H96" i="27"/>
  <c r="H96" i="26"/>
  <c r="H96" i="25"/>
  <c r="H96" i="24"/>
  <c r="H96" i="23"/>
  <c r="H96" i="22"/>
  <c r="H96" i="21"/>
  <c r="H96" i="20"/>
  <c r="H96" i="19"/>
  <c r="H96" i="17"/>
  <c r="H96" i="16"/>
  <c r="H96" i="11"/>
  <c r="H96" i="10"/>
  <c r="H96" i="9"/>
  <c r="H96" i="63"/>
  <c r="H96" i="51"/>
  <c r="H96" i="75"/>
  <c r="H96" i="68"/>
  <c r="H96" i="67"/>
  <c r="H96" i="4"/>
  <c r="H96" i="3"/>
  <c r="C59" i="1" l="1"/>
  <c r="I160" i="75" l="1"/>
  <c r="F166" i="75" s="1"/>
  <c r="D160" i="75"/>
  <c r="A166" i="75" s="1"/>
  <c r="C152" i="75"/>
  <c r="A151" i="75"/>
  <c r="B146" i="75"/>
  <c r="B144" i="75"/>
  <c r="B143" i="75"/>
  <c r="B142" i="75"/>
  <c r="B141" i="75"/>
  <c r="B140" i="75"/>
  <c r="H136" i="75"/>
  <c r="I106" i="75"/>
  <c r="I111" i="75" s="1"/>
  <c r="H98" i="75"/>
  <c r="H97" i="75"/>
  <c r="H95" i="75"/>
  <c r="H87" i="75"/>
  <c r="H89" i="75" s="1"/>
  <c r="H86" i="75"/>
  <c r="H84" i="75"/>
  <c r="I71" i="75"/>
  <c r="I67" i="75"/>
  <c r="I66" i="75"/>
  <c r="I63" i="75"/>
  <c r="H62" i="75"/>
  <c r="H61" i="75"/>
  <c r="H57" i="75"/>
  <c r="H45" i="75"/>
  <c r="I31" i="75"/>
  <c r="F169" i="75" s="1"/>
  <c r="G169" i="75" l="1"/>
  <c r="H169" i="75" s="1"/>
  <c r="I169" i="75" s="1"/>
  <c r="F34" i="75" s="1"/>
  <c r="F174" i="75"/>
  <c r="G174" i="75" s="1"/>
  <c r="I174" i="75" s="1"/>
  <c r="F36" i="75" s="1"/>
  <c r="F170" i="75"/>
  <c r="H88" i="75"/>
  <c r="F163" i="75"/>
  <c r="H163" i="75" s="1"/>
  <c r="G166" i="75" s="1"/>
  <c r="H166" i="75" s="1"/>
  <c r="I62" i="75" s="1"/>
  <c r="I33" i="75"/>
  <c r="I38" i="75" s="1"/>
  <c r="H85" i="75"/>
  <c r="H99" i="75"/>
  <c r="H101" i="75" s="1"/>
  <c r="A163" i="75"/>
  <c r="C163" i="75" s="1"/>
  <c r="B166" i="75" s="1"/>
  <c r="C166" i="75" s="1"/>
  <c r="I61" i="75" s="1"/>
  <c r="F171" i="75" l="1"/>
  <c r="F172" i="75" s="1"/>
  <c r="I73" i="75"/>
  <c r="I79" i="75" s="1"/>
  <c r="I140" i="75"/>
  <c r="I44" i="75"/>
  <c r="I88" i="75"/>
  <c r="I86" i="75"/>
  <c r="I84" i="75"/>
  <c r="I43" i="75"/>
  <c r="I89" i="75"/>
  <c r="I87" i="75"/>
  <c r="I85" i="75"/>
  <c r="H90" i="75"/>
  <c r="F173" i="75" l="1"/>
  <c r="G170" i="75" s="1"/>
  <c r="H170" i="75" s="1"/>
  <c r="F35" i="75" s="1"/>
  <c r="I45" i="75"/>
  <c r="I77" i="75" s="1"/>
  <c r="I90" i="75"/>
  <c r="I142" i="75" s="1"/>
  <c r="I170" i="75" l="1"/>
  <c r="I51" i="75"/>
  <c r="I53" i="75"/>
  <c r="I52" i="75"/>
  <c r="I49" i="75"/>
  <c r="I50" i="75"/>
  <c r="I56" i="75"/>
  <c r="I54" i="75"/>
  <c r="I55" i="75"/>
  <c r="I57" i="75" l="1"/>
  <c r="I78" i="75" s="1"/>
  <c r="I80" i="75" s="1"/>
  <c r="I98" i="75" s="1"/>
  <c r="I96" i="75" l="1"/>
  <c r="I95" i="75"/>
  <c r="I99" i="75"/>
  <c r="I141" i="75"/>
  <c r="I97" i="75"/>
  <c r="I100" i="75"/>
  <c r="I101" i="75" l="1"/>
  <c r="I110" i="75" s="1"/>
  <c r="I112" i="75" s="1"/>
  <c r="I143" i="75" s="1"/>
  <c r="I31" i="3" l="1"/>
  <c r="A8" i="1" l="1"/>
  <c r="I159" i="68"/>
  <c r="F162" i="68" s="1"/>
  <c r="H162" i="68" s="1"/>
  <c r="G165" i="68" s="1"/>
  <c r="D159" i="68"/>
  <c r="A165" i="68" s="1"/>
  <c r="A151" i="68"/>
  <c r="B146" i="68"/>
  <c r="B144" i="68"/>
  <c r="B143" i="68"/>
  <c r="B142" i="68"/>
  <c r="B141" i="68"/>
  <c r="B140" i="68"/>
  <c r="H136" i="68"/>
  <c r="I106" i="68"/>
  <c r="I111" i="68" s="1"/>
  <c r="H98" i="68"/>
  <c r="H97" i="68"/>
  <c r="H95" i="68"/>
  <c r="H87" i="68"/>
  <c r="H86" i="68"/>
  <c r="H84" i="68"/>
  <c r="H85" i="68" s="1"/>
  <c r="I71" i="68"/>
  <c r="I67" i="68"/>
  <c r="I66" i="68"/>
  <c r="I63" i="68"/>
  <c r="H62" i="68"/>
  <c r="H61" i="68"/>
  <c r="H57" i="68"/>
  <c r="H99" i="68" s="1"/>
  <c r="H45" i="68"/>
  <c r="I31" i="68"/>
  <c r="I33" i="68" s="1"/>
  <c r="I38" i="68" l="1"/>
  <c r="A162" i="68"/>
  <c r="C162" i="68" s="1"/>
  <c r="B165" i="68" s="1"/>
  <c r="C165" i="68" s="1"/>
  <c r="I61" i="68" s="1"/>
  <c r="H88" i="68"/>
  <c r="H101" i="68"/>
  <c r="H89" i="68"/>
  <c r="F165" i="68"/>
  <c r="H165" i="68" s="1"/>
  <c r="I62" i="68" s="1"/>
  <c r="I31" i="67"/>
  <c r="A162" i="67" s="1"/>
  <c r="C162" i="67" s="1"/>
  <c r="B165" i="67" s="1"/>
  <c r="A7" i="1"/>
  <c r="I159" i="67"/>
  <c r="F165" i="67" s="1"/>
  <c r="D159" i="67"/>
  <c r="A165" i="67" s="1"/>
  <c r="A151" i="67"/>
  <c r="B146" i="67"/>
  <c r="B144" i="67"/>
  <c r="B143" i="67"/>
  <c r="B142" i="67"/>
  <c r="B141" i="67"/>
  <c r="B140" i="67"/>
  <c r="H136" i="67"/>
  <c r="I106" i="67"/>
  <c r="I111" i="67" s="1"/>
  <c r="H98" i="67"/>
  <c r="H97" i="67"/>
  <c r="H95" i="67"/>
  <c r="H87" i="67"/>
  <c r="H89" i="67" s="1"/>
  <c r="H86" i="67"/>
  <c r="H84" i="67"/>
  <c r="I71" i="67"/>
  <c r="I67" i="67"/>
  <c r="I66" i="67"/>
  <c r="I63" i="67"/>
  <c r="H62" i="67"/>
  <c r="H61" i="67"/>
  <c r="H57" i="67"/>
  <c r="H45" i="67"/>
  <c r="H88" i="67" l="1"/>
  <c r="H85" i="67"/>
  <c r="I85" i="68"/>
  <c r="I43" i="68"/>
  <c r="I89" i="68"/>
  <c r="I44" i="68"/>
  <c r="I84" i="68"/>
  <c r="I140" i="68"/>
  <c r="I87" i="68"/>
  <c r="I86" i="68"/>
  <c r="H90" i="68"/>
  <c r="I88" i="68"/>
  <c r="H99" i="67"/>
  <c r="H101" i="67" s="1"/>
  <c r="I73" i="68"/>
  <c r="I79" i="68" s="1"/>
  <c r="I33" i="67"/>
  <c r="I38" i="67" s="1"/>
  <c r="I140" i="67" s="1"/>
  <c r="C165" i="67"/>
  <c r="I61" i="67" s="1"/>
  <c r="H90" i="67"/>
  <c r="F162" i="67"/>
  <c r="H162" i="67" s="1"/>
  <c r="G165" i="67" s="1"/>
  <c r="H165" i="67" s="1"/>
  <c r="I62" i="67" s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19" i="1"/>
  <c r="A16" i="1"/>
  <c r="A15" i="1"/>
  <c r="A21" i="1"/>
  <c r="A11" i="1"/>
  <c r="A10" i="1"/>
  <c r="A4" i="1"/>
  <c r="I45" i="68" l="1"/>
  <c r="I77" i="68" s="1"/>
  <c r="I90" i="68"/>
  <c r="I142" i="68" s="1"/>
  <c r="I73" i="67"/>
  <c r="I79" i="67" s="1"/>
  <c r="I53" i="68"/>
  <c r="I51" i="68"/>
  <c r="I49" i="68"/>
  <c r="I56" i="68"/>
  <c r="I54" i="68"/>
  <c r="I50" i="68"/>
  <c r="I52" i="68"/>
  <c r="I55" i="68"/>
  <c r="I87" i="67"/>
  <c r="I89" i="67"/>
  <c r="I84" i="67"/>
  <c r="I86" i="67"/>
  <c r="I44" i="67"/>
  <c r="I88" i="67"/>
  <c r="I85" i="67"/>
  <c r="I43" i="67"/>
  <c r="I57" i="68" l="1"/>
  <c r="I78" i="68" s="1"/>
  <c r="I80" i="68" s="1"/>
  <c r="I90" i="67"/>
  <c r="I142" i="67" s="1"/>
  <c r="I45" i="67"/>
  <c r="I77" i="67" s="1"/>
  <c r="I51" i="67" l="1"/>
  <c r="I50" i="67"/>
  <c r="I55" i="67"/>
  <c r="I141" i="68"/>
  <c r="I98" i="68"/>
  <c r="I96" i="68"/>
  <c r="I100" i="68"/>
  <c r="I95" i="68"/>
  <c r="I99" i="68"/>
  <c r="I97" i="68"/>
  <c r="I56" i="67"/>
  <c r="I52" i="67"/>
  <c r="I53" i="67"/>
  <c r="I49" i="67"/>
  <c r="I54" i="67"/>
  <c r="I57" i="67" l="1"/>
  <c r="I78" i="67" s="1"/>
  <c r="I80" i="67" s="1"/>
  <c r="I96" i="67" s="1"/>
  <c r="I101" i="68"/>
  <c r="I110" i="68" s="1"/>
  <c r="I112" i="68" s="1"/>
  <c r="I143" i="68" s="1"/>
  <c r="I99" i="67" l="1"/>
  <c r="I100" i="67"/>
  <c r="I98" i="67"/>
  <c r="I95" i="67"/>
  <c r="I141" i="67"/>
  <c r="I97" i="67"/>
  <c r="I101" i="67" l="1"/>
  <c r="I110" i="67" s="1"/>
  <c r="I112" i="67" s="1"/>
  <c r="I143" i="67" s="1"/>
  <c r="A151" i="43" l="1"/>
  <c r="A151" i="42"/>
  <c r="A151" i="41"/>
  <c r="A151" i="40"/>
  <c r="A151" i="39"/>
  <c r="A151" i="38"/>
  <c r="A151" i="37"/>
  <c r="A151" i="36"/>
  <c r="A151" i="35"/>
  <c r="A151" i="34"/>
  <c r="A151" i="33"/>
  <c r="A151" i="32"/>
  <c r="A151" i="31"/>
  <c r="A151" i="29"/>
  <c r="A151" i="28"/>
  <c r="A151" i="27"/>
  <c r="A151" i="26"/>
  <c r="A151" i="25"/>
  <c r="A151" i="24"/>
  <c r="A151" i="23"/>
  <c r="A151" i="22"/>
  <c r="A151" i="21"/>
  <c r="A151" i="20"/>
  <c r="A151" i="19"/>
  <c r="A151" i="18"/>
  <c r="A151" i="17"/>
  <c r="A151" i="11"/>
  <c r="A151" i="10"/>
  <c r="A151" i="9"/>
  <c r="A151" i="16"/>
  <c r="A151" i="63"/>
  <c r="A151" i="51"/>
  <c r="A151" i="4"/>
  <c r="A151" i="3"/>
  <c r="H36" i="44" l="1"/>
  <c r="H35" i="44"/>
  <c r="H34" i="44"/>
  <c r="H33" i="44"/>
  <c r="H32" i="44"/>
  <c r="H31" i="44"/>
  <c r="H30" i="44"/>
  <c r="G29" i="44"/>
  <c r="H29" i="44" s="1"/>
  <c r="A163" i="63"/>
  <c r="C163" i="63" s="1"/>
  <c r="B166" i="63" s="1"/>
  <c r="H61" i="63"/>
  <c r="H61" i="51"/>
  <c r="I160" i="63"/>
  <c r="F166" i="63" s="1"/>
  <c r="D160" i="63"/>
  <c r="A166" i="63" s="1"/>
  <c r="C152" i="63"/>
  <c r="B146" i="63"/>
  <c r="B144" i="63"/>
  <c r="B143" i="63"/>
  <c r="B142" i="63"/>
  <c r="B141" i="63"/>
  <c r="B140" i="63"/>
  <c r="H136" i="63"/>
  <c r="H106" i="63"/>
  <c r="H98" i="63"/>
  <c r="H97" i="63"/>
  <c r="H95" i="63"/>
  <c r="H87" i="63"/>
  <c r="H89" i="63" s="1"/>
  <c r="H86" i="63"/>
  <c r="H84" i="63"/>
  <c r="H85" i="63" s="1"/>
  <c r="I71" i="63"/>
  <c r="I67" i="63"/>
  <c r="I66" i="63"/>
  <c r="I63" i="63"/>
  <c r="H62" i="63"/>
  <c r="H57" i="63"/>
  <c r="H99" i="63" s="1"/>
  <c r="H45" i="63"/>
  <c r="H88" i="63" l="1"/>
  <c r="H90" i="63" s="1"/>
  <c r="H101" i="63"/>
  <c r="G37" i="44"/>
  <c r="H37" i="44" s="1"/>
  <c r="I116" i="63" s="1"/>
  <c r="C166" i="63"/>
  <c r="I61" i="63" s="1"/>
  <c r="I37" i="63"/>
  <c r="I33" i="63"/>
  <c r="F163" i="63"/>
  <c r="H163" i="63" s="1"/>
  <c r="G166" i="63" s="1"/>
  <c r="H166" i="63" s="1"/>
  <c r="I62" i="63" s="1"/>
  <c r="I38" i="63" l="1"/>
  <c r="I85" i="63" s="1"/>
  <c r="I73" i="63"/>
  <c r="I79" i="63" s="1"/>
  <c r="I44" i="63" l="1"/>
  <c r="I87" i="63"/>
  <c r="I140" i="63"/>
  <c r="I86" i="63"/>
  <c r="I84" i="63"/>
  <c r="I89" i="63"/>
  <c r="I105" i="63"/>
  <c r="I106" i="63" s="1"/>
  <c r="I111" i="63" s="1"/>
  <c r="I43" i="63"/>
  <c r="I45" i="63" s="1"/>
  <c r="I88" i="63"/>
  <c r="I72" i="4"/>
  <c r="I66" i="4"/>
  <c r="I31" i="4"/>
  <c r="I90" i="63" l="1"/>
  <c r="I142" i="63" s="1"/>
  <c r="F170" i="4"/>
  <c r="F169" i="4"/>
  <c r="G169" i="4" s="1"/>
  <c r="F174" i="4"/>
  <c r="G174" i="4" s="1"/>
  <c r="I174" i="4" s="1"/>
  <c r="G36" i="4" s="1"/>
  <c r="I36" i="4" s="1"/>
  <c r="I77" i="63"/>
  <c r="I56" i="63"/>
  <c r="I53" i="63"/>
  <c r="I55" i="63"/>
  <c r="I52" i="63"/>
  <c r="I54" i="63"/>
  <c r="I49" i="63"/>
  <c r="I51" i="63"/>
  <c r="I50" i="63"/>
  <c r="H169" i="4" l="1"/>
  <c r="I169" i="4" s="1"/>
  <c r="I34" i="4" s="1"/>
  <c r="F171" i="4"/>
  <c r="F172" i="4" s="1"/>
  <c r="F173" i="4" s="1"/>
  <c r="G170" i="4" s="1"/>
  <c r="I57" i="63"/>
  <c r="I78" i="63" s="1"/>
  <c r="I80" i="63" s="1"/>
  <c r="H98" i="9"/>
  <c r="H97" i="9"/>
  <c r="H95" i="9"/>
  <c r="H87" i="9"/>
  <c r="H89" i="9" s="1"/>
  <c r="H86" i="9"/>
  <c r="H84" i="9"/>
  <c r="H85" i="9" s="1"/>
  <c r="H170" i="4" l="1"/>
  <c r="I170" i="4" s="1"/>
  <c r="I35" i="4" s="1"/>
  <c r="I141" i="63"/>
  <c r="I100" i="63"/>
  <c r="I96" i="63"/>
  <c r="I99" i="63"/>
  <c r="I97" i="63"/>
  <c r="I95" i="63"/>
  <c r="I98" i="63"/>
  <c r="H62" i="4"/>
  <c r="I101" i="63" l="1"/>
  <c r="I110" i="63" s="1"/>
  <c r="I112" i="63" s="1"/>
  <c r="I143" i="63" s="1"/>
  <c r="H98" i="4"/>
  <c r="H97" i="4"/>
  <c r="H95" i="4"/>
  <c r="H87" i="4"/>
  <c r="H86" i="4"/>
  <c r="H84" i="4"/>
  <c r="H85" i="4" s="1"/>
  <c r="H89" i="4" l="1"/>
  <c r="H98" i="43" l="1"/>
  <c r="H97" i="43"/>
  <c r="H95" i="43"/>
  <c r="H98" i="42"/>
  <c r="H97" i="42"/>
  <c r="H95" i="42"/>
  <c r="H98" i="41"/>
  <c r="H97" i="41"/>
  <c r="H95" i="41"/>
  <c r="H98" i="40"/>
  <c r="H97" i="40"/>
  <c r="H95" i="40"/>
  <c r="H98" i="39"/>
  <c r="H97" i="39"/>
  <c r="H95" i="39"/>
  <c r="H98" i="38"/>
  <c r="H97" i="38"/>
  <c r="H95" i="38"/>
  <c r="H98" i="37"/>
  <c r="H97" i="37"/>
  <c r="H95" i="37"/>
  <c r="H98" i="36"/>
  <c r="H97" i="36"/>
  <c r="H95" i="36"/>
  <c r="H98" i="35"/>
  <c r="H97" i="35"/>
  <c r="H95" i="35"/>
  <c r="H98" i="34"/>
  <c r="H97" i="34"/>
  <c r="H95" i="34"/>
  <c r="H98" i="33"/>
  <c r="H97" i="33"/>
  <c r="H95" i="33"/>
  <c r="H98" i="32"/>
  <c r="H97" i="32"/>
  <c r="H95" i="32"/>
  <c r="H98" i="31"/>
  <c r="H97" i="31"/>
  <c r="H95" i="31"/>
  <c r="H98" i="29"/>
  <c r="H97" i="29"/>
  <c r="H95" i="29"/>
  <c r="H98" i="28"/>
  <c r="H97" i="28"/>
  <c r="H95" i="28"/>
  <c r="H98" i="27"/>
  <c r="H97" i="27"/>
  <c r="H95" i="27"/>
  <c r="H98" i="26"/>
  <c r="H97" i="26"/>
  <c r="H95" i="26"/>
  <c r="H98" i="25"/>
  <c r="H97" i="25"/>
  <c r="H95" i="25"/>
  <c r="H98" i="24"/>
  <c r="H97" i="24"/>
  <c r="H95" i="24"/>
  <c r="H98" i="23"/>
  <c r="H97" i="23"/>
  <c r="H95" i="23"/>
  <c r="H98" i="22"/>
  <c r="H97" i="22"/>
  <c r="H95" i="22"/>
  <c r="H98" i="21"/>
  <c r="H97" i="21"/>
  <c r="H95" i="21"/>
  <c r="H98" i="20"/>
  <c r="H97" i="20"/>
  <c r="H95" i="20"/>
  <c r="H98" i="19"/>
  <c r="H97" i="19"/>
  <c r="H95" i="19"/>
  <c r="H98" i="18"/>
  <c r="H97" i="18"/>
  <c r="H95" i="18"/>
  <c r="H98" i="17"/>
  <c r="H97" i="17"/>
  <c r="H95" i="17"/>
  <c r="H98" i="16"/>
  <c r="H97" i="16"/>
  <c r="H95" i="16"/>
  <c r="H98" i="11"/>
  <c r="H97" i="11"/>
  <c r="H95" i="11"/>
  <c r="H98" i="10" l="1"/>
  <c r="H97" i="10"/>
  <c r="H95" i="10"/>
  <c r="H98" i="51"/>
  <c r="H97" i="51"/>
  <c r="H95" i="51"/>
  <c r="H98" i="3"/>
  <c r="H97" i="3"/>
  <c r="H95" i="3"/>
  <c r="E40" i="45" l="1"/>
  <c r="E42" i="45" s="1"/>
  <c r="AV20" i="45" l="1"/>
  <c r="AW20" i="45" s="1"/>
  <c r="AV18" i="45"/>
  <c r="AW18" i="45" s="1"/>
  <c r="AX18" i="45" s="1"/>
  <c r="AV19" i="45"/>
  <c r="AW19" i="45" s="1"/>
  <c r="AX19" i="45" s="1"/>
  <c r="AV21" i="45"/>
  <c r="AW21" i="45" s="1"/>
  <c r="AV22" i="45"/>
  <c r="AW22" i="45" s="1"/>
  <c r="AX22" i="45" s="1"/>
  <c r="AV23" i="45"/>
  <c r="AW23" i="45" s="1"/>
  <c r="AX23" i="45" s="1"/>
  <c r="AV24" i="45"/>
  <c r="AW24" i="45" s="1"/>
  <c r="AX24" i="45" s="1"/>
  <c r="AV25" i="45"/>
  <c r="AW25" i="45" s="1"/>
  <c r="AX25" i="45" s="1"/>
  <c r="AV26" i="45"/>
  <c r="AW26" i="45" s="1"/>
  <c r="AX26" i="45" s="1"/>
  <c r="AV27" i="45"/>
  <c r="AW27" i="45" s="1"/>
  <c r="AX27" i="45" s="1"/>
  <c r="AV28" i="45"/>
  <c r="AW28" i="45" s="1"/>
  <c r="AX28" i="45" s="1"/>
  <c r="AV29" i="45"/>
  <c r="AW29" i="45" s="1"/>
  <c r="AX29" i="45" s="1"/>
  <c r="AV30" i="45"/>
  <c r="AW30" i="45" s="1"/>
  <c r="AX30" i="45" s="1"/>
  <c r="AV31" i="45"/>
  <c r="AW31" i="45" s="1"/>
  <c r="AX31" i="45" s="1"/>
  <c r="AV32" i="45"/>
  <c r="AW32" i="45" s="1"/>
  <c r="AV33" i="45"/>
  <c r="AW33" i="45" s="1"/>
  <c r="AV34" i="45"/>
  <c r="AW34" i="45" s="1"/>
  <c r="AX34" i="45" s="1"/>
  <c r="AV35" i="45"/>
  <c r="AW35" i="45" s="1"/>
  <c r="AX35" i="45" s="1"/>
  <c r="AV36" i="45"/>
  <c r="AW36" i="45" s="1"/>
  <c r="AX36" i="45" s="1"/>
  <c r="AV37" i="45"/>
  <c r="AW37" i="45" s="1"/>
  <c r="AX37" i="45" s="1"/>
  <c r="AV38" i="45"/>
  <c r="AW38" i="45" s="1"/>
  <c r="AX38" i="45" s="1"/>
  <c r="AV39" i="45"/>
  <c r="AW39" i="45" s="1"/>
  <c r="AX39" i="45" s="1"/>
  <c r="AV8" i="45"/>
  <c r="AV7" i="45"/>
  <c r="AV6" i="45"/>
  <c r="AW6" i="45" s="1"/>
  <c r="AX6" i="45" s="1"/>
  <c r="AV5" i="45"/>
  <c r="AW5" i="45" s="1"/>
  <c r="AX5" i="45" s="1"/>
  <c r="AV17" i="45"/>
  <c r="AW17" i="45" s="1"/>
  <c r="AX17" i="45" s="1"/>
  <c r="AV12" i="45"/>
  <c r="AV16" i="45"/>
  <c r="AV11" i="45"/>
  <c r="AW11" i="45" s="1"/>
  <c r="AX11" i="45" s="1"/>
  <c r="AV15" i="45"/>
  <c r="AW15" i="45" s="1"/>
  <c r="AV10" i="45"/>
  <c r="AV14" i="45"/>
  <c r="AV9" i="45"/>
  <c r="AV13" i="45"/>
  <c r="AW13" i="45" s="1"/>
  <c r="AX13" i="45" s="1"/>
  <c r="H87" i="43"/>
  <c r="H89" i="43" s="1"/>
  <c r="H86" i="43"/>
  <c r="H84" i="43"/>
  <c r="H85" i="43" s="1"/>
  <c r="H87" i="42"/>
  <c r="H89" i="42" s="1"/>
  <c r="H86" i="42"/>
  <c r="H84" i="42"/>
  <c r="H85" i="42" s="1"/>
  <c r="H87" i="41"/>
  <c r="H89" i="41" s="1"/>
  <c r="H86" i="41"/>
  <c r="H84" i="41"/>
  <c r="H85" i="41" s="1"/>
  <c r="H87" i="40"/>
  <c r="H89" i="40" s="1"/>
  <c r="H86" i="40"/>
  <c r="H84" i="40"/>
  <c r="H85" i="40" s="1"/>
  <c r="H87" i="39"/>
  <c r="H86" i="39"/>
  <c r="H84" i="39"/>
  <c r="H85" i="39" s="1"/>
  <c r="H87" i="38"/>
  <c r="H89" i="38" s="1"/>
  <c r="H86" i="38"/>
  <c r="H84" i="38"/>
  <c r="H85" i="38" s="1"/>
  <c r="H87" i="37"/>
  <c r="H89" i="37" s="1"/>
  <c r="H86" i="37"/>
  <c r="H84" i="37"/>
  <c r="H85" i="37" s="1"/>
  <c r="H87" i="36"/>
  <c r="H89" i="36" s="1"/>
  <c r="H86" i="36"/>
  <c r="H84" i="36"/>
  <c r="H85" i="36" s="1"/>
  <c r="H87" i="35"/>
  <c r="H89" i="35" s="1"/>
  <c r="H86" i="35"/>
  <c r="H84" i="35"/>
  <c r="H85" i="35" s="1"/>
  <c r="H87" i="34"/>
  <c r="H89" i="34" s="1"/>
  <c r="H86" i="34"/>
  <c r="H84" i="34"/>
  <c r="H85" i="34" s="1"/>
  <c r="AY13" i="45" l="1"/>
  <c r="C67" i="1" s="1"/>
  <c r="D67" i="1"/>
  <c r="AY6" i="45"/>
  <c r="C58" i="1" s="1"/>
  <c r="D58" i="1"/>
  <c r="AY19" i="45"/>
  <c r="C73" i="1" s="1"/>
  <c r="D73" i="1"/>
  <c r="AY34" i="45"/>
  <c r="C87" i="1" s="1"/>
  <c r="D87" i="1"/>
  <c r="AY24" i="45"/>
  <c r="C78" i="1" s="1"/>
  <c r="D78" i="1"/>
  <c r="AY22" i="45"/>
  <c r="C76" i="1" s="1"/>
  <c r="D76" i="1"/>
  <c r="AY17" i="45"/>
  <c r="C71" i="1" s="1"/>
  <c r="D71" i="1"/>
  <c r="AY18" i="45"/>
  <c r="C72" i="1" s="1"/>
  <c r="D72" i="1"/>
  <c r="AY23" i="45"/>
  <c r="C77" i="1" s="1"/>
  <c r="D77" i="1"/>
  <c r="AY25" i="45"/>
  <c r="C79" i="1" s="1"/>
  <c r="D79" i="1"/>
  <c r="AY27" i="45"/>
  <c r="C81" i="1" s="1"/>
  <c r="D81" i="1"/>
  <c r="AY29" i="45"/>
  <c r="C83" i="1" s="1"/>
  <c r="D83" i="1"/>
  <c r="AY30" i="45"/>
  <c r="C84" i="1" s="1"/>
  <c r="D84" i="1"/>
  <c r="AY35" i="45"/>
  <c r="C88" i="1" s="1"/>
  <c r="D88" i="1"/>
  <c r="AY37" i="45"/>
  <c r="C90" i="1" s="1"/>
  <c r="D90" i="1"/>
  <c r="AY38" i="45"/>
  <c r="C91" i="1" s="1"/>
  <c r="D91" i="1"/>
  <c r="AY39" i="45"/>
  <c r="C92" i="1" s="1"/>
  <c r="D92" i="1"/>
  <c r="AY31" i="45"/>
  <c r="C66" i="1" s="1"/>
  <c r="D66" i="1"/>
  <c r="AY11" i="45"/>
  <c r="C64" i="1" s="1"/>
  <c r="D64" i="1"/>
  <c r="AY5" i="45"/>
  <c r="D57" i="1"/>
  <c r="AY36" i="45"/>
  <c r="C89" i="1" s="1"/>
  <c r="D89" i="1"/>
  <c r="AY26" i="45"/>
  <c r="C80" i="1" s="1"/>
  <c r="D80" i="1"/>
  <c r="AY28" i="45"/>
  <c r="C82" i="1" s="1"/>
  <c r="D82" i="1"/>
  <c r="AX20" i="45"/>
  <c r="AX21" i="45"/>
  <c r="AX32" i="45"/>
  <c r="AX33" i="45"/>
  <c r="AX15" i="45"/>
  <c r="AW9" i="45"/>
  <c r="AX9" i="45" s="1"/>
  <c r="AW14" i="45"/>
  <c r="AX14" i="45" s="1"/>
  <c r="AW7" i="45"/>
  <c r="AX7" i="45" s="1"/>
  <c r="AW10" i="45"/>
  <c r="AX10" i="45" s="1"/>
  <c r="AW16" i="45"/>
  <c r="AX16" i="45" s="1"/>
  <c r="AW12" i="45"/>
  <c r="AX12" i="45" s="1"/>
  <c r="AW8" i="45"/>
  <c r="AX8" i="45" s="1"/>
  <c r="H89" i="39"/>
  <c r="H87" i="33"/>
  <c r="H89" i="33" s="1"/>
  <c r="H86" i="33"/>
  <c r="H84" i="33"/>
  <c r="H85" i="33" s="1"/>
  <c r="H87" i="32"/>
  <c r="H89" i="32" s="1"/>
  <c r="H86" i="32"/>
  <c r="H84" i="32"/>
  <c r="H85" i="32" s="1"/>
  <c r="H87" i="31"/>
  <c r="H89" i="31" s="1"/>
  <c r="H86" i="31"/>
  <c r="H84" i="31"/>
  <c r="H85" i="31" s="1"/>
  <c r="AX40" i="45" l="1"/>
  <c r="C57" i="1"/>
  <c r="AY10" i="45"/>
  <c r="C63" i="1" s="1"/>
  <c r="D63" i="1"/>
  <c r="AY9" i="45"/>
  <c r="C62" i="1" s="1"/>
  <c r="D62" i="1"/>
  <c r="AY12" i="45"/>
  <c r="C65" i="1" s="1"/>
  <c r="D65" i="1"/>
  <c r="AY14" i="45"/>
  <c r="C68" i="1" s="1"/>
  <c r="D68" i="1"/>
  <c r="AY15" i="45"/>
  <c r="C69" i="1" s="1"/>
  <c r="D69" i="1"/>
  <c r="AY21" i="45"/>
  <c r="C75" i="1" s="1"/>
  <c r="D75" i="1"/>
  <c r="AY20" i="45"/>
  <c r="C74" i="1" s="1"/>
  <c r="D74" i="1"/>
  <c r="AY33" i="45"/>
  <c r="C86" i="1" s="1"/>
  <c r="D86" i="1"/>
  <c r="AY8" i="45"/>
  <c r="C61" i="1" s="1"/>
  <c r="D61" i="1"/>
  <c r="AY7" i="45"/>
  <c r="C60" i="1" s="1"/>
  <c r="D60" i="1"/>
  <c r="AY16" i="45"/>
  <c r="C70" i="1" s="1"/>
  <c r="D70" i="1"/>
  <c r="AY32" i="45"/>
  <c r="D85" i="1"/>
  <c r="H87" i="29"/>
  <c r="H89" i="29" s="1"/>
  <c r="H86" i="29"/>
  <c r="H84" i="29"/>
  <c r="H85" i="29" s="1"/>
  <c r="H87" i="28"/>
  <c r="H89" i="28" s="1"/>
  <c r="H86" i="28"/>
  <c r="H84" i="28"/>
  <c r="H85" i="28" s="1"/>
  <c r="H87" i="27"/>
  <c r="H89" i="27" s="1"/>
  <c r="H86" i="27"/>
  <c r="H84" i="27"/>
  <c r="H85" i="27" s="1"/>
  <c r="AY40" i="45" l="1"/>
  <c r="D93" i="1"/>
  <c r="C85" i="1"/>
  <c r="C93" i="1" s="1"/>
  <c r="H87" i="26"/>
  <c r="H89" i="26" s="1"/>
  <c r="H86" i="26"/>
  <c r="H84" i="26"/>
  <c r="H85" i="26" s="1"/>
  <c r="H87" i="25"/>
  <c r="H89" i="25" s="1"/>
  <c r="H86" i="25"/>
  <c r="H84" i="25"/>
  <c r="H85" i="25" s="1"/>
  <c r="H87" i="24"/>
  <c r="H89" i="24" s="1"/>
  <c r="H86" i="24"/>
  <c r="H84" i="24"/>
  <c r="H85" i="24" s="1"/>
  <c r="H87" i="23"/>
  <c r="H89" i="23" s="1"/>
  <c r="H86" i="23"/>
  <c r="H84" i="23"/>
  <c r="H85" i="23" s="1"/>
  <c r="H87" i="22"/>
  <c r="H89" i="22" s="1"/>
  <c r="H86" i="22"/>
  <c r="H84" i="22"/>
  <c r="H85" i="22" s="1"/>
  <c r="H87" i="21"/>
  <c r="H89" i="21" s="1"/>
  <c r="H86" i="21"/>
  <c r="H84" i="21"/>
  <c r="H85" i="21" s="1"/>
  <c r="H87" i="20"/>
  <c r="H89" i="20" s="1"/>
  <c r="H86" i="20"/>
  <c r="H84" i="20"/>
  <c r="H85" i="20" s="1"/>
  <c r="H87" i="19"/>
  <c r="H89" i="19" s="1"/>
  <c r="H86" i="19"/>
  <c r="H84" i="19"/>
  <c r="H85" i="19" s="1"/>
  <c r="H87" i="18"/>
  <c r="H89" i="18" s="1"/>
  <c r="H86" i="18"/>
  <c r="H84" i="18"/>
  <c r="H85" i="18" s="1"/>
  <c r="H87" i="17" l="1"/>
  <c r="H89" i="17" s="1"/>
  <c r="H86" i="17"/>
  <c r="H84" i="17"/>
  <c r="H85" i="17" s="1"/>
  <c r="H87" i="16"/>
  <c r="H89" i="16" s="1"/>
  <c r="H86" i="16"/>
  <c r="H84" i="16"/>
  <c r="H85" i="16" s="1"/>
  <c r="H87" i="11"/>
  <c r="H89" i="11" s="1"/>
  <c r="H86" i="11"/>
  <c r="H84" i="11"/>
  <c r="H85" i="11" s="1"/>
  <c r="H87" i="10"/>
  <c r="H89" i="10" s="1"/>
  <c r="H86" i="10"/>
  <c r="H84" i="10"/>
  <c r="H85" i="10" s="1"/>
  <c r="H87" i="51" l="1"/>
  <c r="H89" i="51" s="1"/>
  <c r="H86" i="51"/>
  <c r="H84" i="51"/>
  <c r="H85" i="51" s="1"/>
  <c r="H87" i="3"/>
  <c r="H89" i="3" s="1"/>
  <c r="H86" i="3"/>
  <c r="H84" i="3"/>
  <c r="H85" i="3" s="1"/>
  <c r="I38" i="43" l="1"/>
  <c r="I38" i="9"/>
  <c r="H61" i="4"/>
  <c r="H62" i="51"/>
  <c r="H62" i="3"/>
  <c r="I84" i="9" l="1"/>
  <c r="I86" i="9"/>
  <c r="I89" i="9"/>
  <c r="I87" i="9"/>
  <c r="I85" i="9"/>
  <c r="AA8" i="57" l="1"/>
  <c r="U8" i="57"/>
  <c r="H213" i="78" s="1"/>
  <c r="G8" i="60" l="1"/>
  <c r="N8" i="60" s="1"/>
  <c r="H216" i="78"/>
  <c r="AI8" i="57"/>
  <c r="F6" i="60"/>
  <c r="F8" i="60"/>
  <c r="F11" i="60"/>
  <c r="F5" i="60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7" i="57"/>
  <c r="AI38" i="57"/>
  <c r="AI39" i="57"/>
  <c r="AI40" i="57"/>
  <c r="Z15" i="57"/>
  <c r="Z16" i="57"/>
  <c r="Z17" i="57"/>
  <c r="Z18" i="57"/>
  <c r="Z19" i="57"/>
  <c r="Z20" i="57"/>
  <c r="Z21" i="57"/>
  <c r="Z22" i="57"/>
  <c r="Z23" i="57"/>
  <c r="Z24" i="57"/>
  <c r="Z25" i="57"/>
  <c r="Z26" i="57"/>
  <c r="Z27" i="57"/>
  <c r="Z28" i="57"/>
  <c r="Z29" i="57"/>
  <c r="Z30" i="57"/>
  <c r="Z31" i="57"/>
  <c r="Z32" i="57"/>
  <c r="Z33" i="57"/>
  <c r="Z34" i="57"/>
  <c r="Z35" i="57"/>
  <c r="Z36" i="57"/>
  <c r="Z37" i="57"/>
  <c r="Z38" i="57"/>
  <c r="Z39" i="57"/>
  <c r="Z40" i="57"/>
  <c r="Z14" i="57"/>
  <c r="U40" i="57"/>
  <c r="U16" i="57"/>
  <c r="U17" i="57"/>
  <c r="U18" i="57"/>
  <c r="U19" i="57"/>
  <c r="U20" i="57"/>
  <c r="U21" i="57"/>
  <c r="U22" i="57"/>
  <c r="U23" i="57"/>
  <c r="U24" i="57"/>
  <c r="U25" i="57"/>
  <c r="U26" i="57"/>
  <c r="U27" i="57"/>
  <c r="U28" i="57"/>
  <c r="U29" i="57"/>
  <c r="U30" i="57"/>
  <c r="U31" i="57"/>
  <c r="U32" i="57"/>
  <c r="U33" i="57"/>
  <c r="U34" i="57"/>
  <c r="U36" i="57"/>
  <c r="U37" i="57"/>
  <c r="U39" i="57"/>
  <c r="U15" i="57"/>
  <c r="U14" i="57"/>
  <c r="U6" i="57"/>
  <c r="H213" i="9" s="1"/>
  <c r="U7" i="57"/>
  <c r="H213" i="77" s="1"/>
  <c r="U9" i="57"/>
  <c r="U10" i="57"/>
  <c r="H214" i="80" s="1"/>
  <c r="U11" i="57"/>
  <c r="H214" i="81" s="1"/>
  <c r="U13" i="57"/>
  <c r="H214" i="82" s="1"/>
  <c r="U5" i="57"/>
  <c r="H213" i="79" s="1"/>
  <c r="P13" i="57"/>
  <c r="J13" i="57"/>
  <c r="L11" i="57"/>
  <c r="R7" i="57"/>
  <c r="N7" i="57"/>
  <c r="S5" i="57"/>
  <c r="L13" i="57" l="1"/>
  <c r="L5" i="57"/>
  <c r="F12" i="60" l="1"/>
  <c r="F10" i="60"/>
  <c r="F9" i="60"/>
  <c r="F7" i="60"/>
  <c r="G54" i="44" l="1"/>
  <c r="H54" i="44" s="1"/>
  <c r="V40" i="45" l="1"/>
  <c r="V42" i="45" s="1"/>
  <c r="AF40" i="45"/>
  <c r="AF42" i="45" s="1"/>
  <c r="AP40" i="45" l="1"/>
  <c r="AP42" i="45" s="1"/>
  <c r="O40" i="45"/>
  <c r="O42" i="45" s="1"/>
  <c r="G40" i="45" l="1"/>
  <c r="F40" i="45"/>
  <c r="U40" i="45"/>
  <c r="R40" i="45"/>
  <c r="AA40" i="45"/>
  <c r="P40" i="45"/>
  <c r="P42" i="45" l="1"/>
  <c r="AU6" i="45"/>
  <c r="F42" i="45"/>
  <c r="AA42" i="45"/>
  <c r="U42" i="45"/>
  <c r="AU10" i="45"/>
  <c r="AU39" i="45"/>
  <c r="AU35" i="45"/>
  <c r="AU31" i="45"/>
  <c r="AU27" i="45"/>
  <c r="AU23" i="45"/>
  <c r="AU19" i="45"/>
  <c r="AU15" i="45"/>
  <c r="AU9" i="45"/>
  <c r="AU5" i="45"/>
  <c r="AU38" i="45"/>
  <c r="AU34" i="45"/>
  <c r="AU30" i="45"/>
  <c r="AU26" i="45"/>
  <c r="AU22" i="45"/>
  <c r="AU18" i="45"/>
  <c r="G42" i="45"/>
  <c r="AU12" i="45"/>
  <c r="AU8" i="45"/>
  <c r="AU14" i="45"/>
  <c r="AU37" i="45"/>
  <c r="AU33" i="45"/>
  <c r="AU29" i="45"/>
  <c r="AU25" i="45"/>
  <c r="AU21" i="45"/>
  <c r="AU17" i="45"/>
  <c r="R42" i="45"/>
  <c r="AU11" i="45"/>
  <c r="AU7" i="45"/>
  <c r="AU13" i="45"/>
  <c r="AU36" i="45"/>
  <c r="AU32" i="45"/>
  <c r="AU28" i="45"/>
  <c r="AU24" i="45"/>
  <c r="AU20" i="45"/>
  <c r="AU16" i="45"/>
  <c r="AB11" i="57" l="1"/>
  <c r="H10" i="60" s="1"/>
  <c r="AA11" i="57"/>
  <c r="AA7" i="57"/>
  <c r="C7" i="57"/>
  <c r="AA6" i="57"/>
  <c r="U38" i="57"/>
  <c r="AA36" i="57"/>
  <c r="AI36" i="57" s="1"/>
  <c r="D35" i="57"/>
  <c r="U35" i="57" s="1"/>
  <c r="G6" i="60" l="1"/>
  <c r="N6" i="60" s="1"/>
  <c r="H216" i="9"/>
  <c r="AI7" i="57"/>
  <c r="G7" i="60"/>
  <c r="N7" i="60" s="1"/>
  <c r="H216" i="77"/>
  <c r="G10" i="60"/>
  <c r="N10" i="60" s="1"/>
  <c r="H217" i="81"/>
  <c r="AI11" i="57"/>
  <c r="AI6" i="57"/>
  <c r="AB13" i="57"/>
  <c r="F12" i="57"/>
  <c r="AB9" i="57"/>
  <c r="AA9" i="57" s="1"/>
  <c r="AI9" i="57" s="1"/>
  <c r="W9" i="57"/>
  <c r="Z9" i="57" s="1"/>
  <c r="AA13" i="57" l="1"/>
  <c r="H218" i="82" s="1"/>
  <c r="H12" i="60"/>
  <c r="G12" i="57"/>
  <c r="AI13" i="57" l="1"/>
  <c r="G12" i="60"/>
  <c r="N12" i="60" s="1"/>
  <c r="H217" i="82"/>
  <c r="U12" i="57"/>
  <c r="H61" i="19" l="1"/>
  <c r="E9" i="53" l="1"/>
  <c r="F9" i="53" s="1"/>
  <c r="E5" i="53"/>
  <c r="F5" i="53" s="1"/>
  <c r="G55" i="44"/>
  <c r="H55" i="44" s="1"/>
  <c r="I160" i="43"/>
  <c r="F166" i="43" s="1"/>
  <c r="D160" i="43"/>
  <c r="A166" i="43" s="1"/>
  <c r="I160" i="42"/>
  <c r="F166" i="42" s="1"/>
  <c r="D160" i="42"/>
  <c r="A166" i="42" s="1"/>
  <c r="I160" i="41"/>
  <c r="F166" i="41" s="1"/>
  <c r="D160" i="41"/>
  <c r="A166" i="41" s="1"/>
  <c r="I160" i="40"/>
  <c r="F166" i="40" s="1"/>
  <c r="D160" i="40"/>
  <c r="A166" i="40" s="1"/>
  <c r="I160" i="39"/>
  <c r="F166" i="39" s="1"/>
  <c r="D160" i="39"/>
  <c r="A166" i="39" s="1"/>
  <c r="I160" i="38"/>
  <c r="F166" i="38" s="1"/>
  <c r="D160" i="38"/>
  <c r="A166" i="38" s="1"/>
  <c r="I160" i="37"/>
  <c r="F166" i="37" s="1"/>
  <c r="D160" i="37"/>
  <c r="A166" i="37" s="1"/>
  <c r="I160" i="36"/>
  <c r="F166" i="36" s="1"/>
  <c r="D160" i="36"/>
  <c r="A166" i="36" s="1"/>
  <c r="I160" i="35"/>
  <c r="F166" i="35" s="1"/>
  <c r="D160" i="35"/>
  <c r="A166" i="35" s="1"/>
  <c r="I160" i="34"/>
  <c r="F166" i="34" s="1"/>
  <c r="D160" i="34"/>
  <c r="A166" i="34" s="1"/>
  <c r="I160" i="33"/>
  <c r="F166" i="33" s="1"/>
  <c r="D160" i="33"/>
  <c r="A166" i="33" s="1"/>
  <c r="I160" i="32"/>
  <c r="F166" i="32" s="1"/>
  <c r="D160" i="32"/>
  <c r="A166" i="32" s="1"/>
  <c r="I160" i="31"/>
  <c r="F166" i="31" s="1"/>
  <c r="D160" i="31"/>
  <c r="A166" i="31" s="1"/>
  <c r="I160" i="29"/>
  <c r="F166" i="29" s="1"/>
  <c r="D160" i="29"/>
  <c r="A166" i="29" s="1"/>
  <c r="I160" i="28"/>
  <c r="F166" i="28" s="1"/>
  <c r="D160" i="28"/>
  <c r="A166" i="28" s="1"/>
  <c r="I160" i="27"/>
  <c r="F166" i="27" s="1"/>
  <c r="D160" i="27"/>
  <c r="A166" i="27" s="1"/>
  <c r="I160" i="26"/>
  <c r="F166" i="26" s="1"/>
  <c r="D160" i="26"/>
  <c r="A166" i="26" s="1"/>
  <c r="I160" i="25"/>
  <c r="F166" i="25" s="1"/>
  <c r="D160" i="25"/>
  <c r="A166" i="25" s="1"/>
  <c r="I160" i="24"/>
  <c r="F166" i="24" s="1"/>
  <c r="D160" i="24"/>
  <c r="A166" i="24" s="1"/>
  <c r="I160" i="23"/>
  <c r="F166" i="23" s="1"/>
  <c r="D160" i="23"/>
  <c r="A166" i="23" s="1"/>
  <c r="I160" i="22"/>
  <c r="F166" i="22" s="1"/>
  <c r="D160" i="22"/>
  <c r="A166" i="22" s="1"/>
  <c r="I160" i="21"/>
  <c r="F166" i="21" s="1"/>
  <c r="D160" i="21"/>
  <c r="A166" i="21" s="1"/>
  <c r="I160" i="20"/>
  <c r="F166" i="20" s="1"/>
  <c r="D160" i="20"/>
  <c r="A166" i="20" s="1"/>
  <c r="I160" i="19"/>
  <c r="F166" i="19" s="1"/>
  <c r="D160" i="19"/>
  <c r="A166" i="19" s="1"/>
  <c r="I160" i="18"/>
  <c r="F166" i="18" s="1"/>
  <c r="D160" i="18"/>
  <c r="A166" i="18" s="1"/>
  <c r="I71" i="43"/>
  <c r="I67" i="43"/>
  <c r="I66" i="43"/>
  <c r="I63" i="43"/>
  <c r="H62" i="43"/>
  <c r="H61" i="43"/>
  <c r="H57" i="43"/>
  <c r="H45" i="43"/>
  <c r="A163" i="43"/>
  <c r="B166" i="43" s="1"/>
  <c r="I71" i="42"/>
  <c r="I67" i="42"/>
  <c r="I66" i="42"/>
  <c r="I63" i="42"/>
  <c r="H62" i="42"/>
  <c r="H61" i="42"/>
  <c r="H57" i="42"/>
  <c r="H45" i="42"/>
  <c r="A163" i="42"/>
  <c r="C163" i="42" s="1"/>
  <c r="B166" i="42" s="1"/>
  <c r="I71" i="41"/>
  <c r="I67" i="41"/>
  <c r="I66" i="41"/>
  <c r="I63" i="41"/>
  <c r="H62" i="41"/>
  <c r="H61" i="41"/>
  <c r="H57" i="41"/>
  <c r="H45" i="41"/>
  <c r="A163" i="41"/>
  <c r="C163" i="41" s="1"/>
  <c r="B166" i="41" s="1"/>
  <c r="I71" i="40"/>
  <c r="I67" i="40"/>
  <c r="I66" i="40"/>
  <c r="I63" i="40"/>
  <c r="H62" i="40"/>
  <c r="H61" i="40"/>
  <c r="H57" i="40"/>
  <c r="H45" i="40"/>
  <c r="A163" i="40"/>
  <c r="C163" i="40" s="1"/>
  <c r="B166" i="40" s="1"/>
  <c r="I71" i="39"/>
  <c r="I67" i="39"/>
  <c r="I66" i="39"/>
  <c r="I63" i="39"/>
  <c r="H62" i="39"/>
  <c r="H61" i="39"/>
  <c r="H57" i="39"/>
  <c r="H45" i="39"/>
  <c r="A163" i="39"/>
  <c r="C163" i="39" s="1"/>
  <c r="B166" i="39" s="1"/>
  <c r="I71" i="38"/>
  <c r="I67" i="38"/>
  <c r="I66" i="38"/>
  <c r="I63" i="38"/>
  <c r="H62" i="38"/>
  <c r="H61" i="38"/>
  <c r="H57" i="38"/>
  <c r="H45" i="38"/>
  <c r="A163" i="38"/>
  <c r="B166" i="38" s="1"/>
  <c r="I71" i="37"/>
  <c r="I67" i="37"/>
  <c r="I66" i="37"/>
  <c r="I63" i="37"/>
  <c r="H62" i="37"/>
  <c r="H61" i="37"/>
  <c r="H57" i="37"/>
  <c r="H45" i="37"/>
  <c r="I33" i="37"/>
  <c r="I71" i="36"/>
  <c r="I67" i="36"/>
  <c r="I66" i="36"/>
  <c r="I63" i="36"/>
  <c r="H62" i="36"/>
  <c r="H61" i="36"/>
  <c r="H57" i="36"/>
  <c r="H45" i="36"/>
  <c r="A163" i="36"/>
  <c r="B166" i="36" s="1"/>
  <c r="I71" i="35"/>
  <c r="I67" i="35"/>
  <c r="I66" i="35"/>
  <c r="I63" i="35"/>
  <c r="H62" i="35"/>
  <c r="H61" i="35"/>
  <c r="H57" i="35"/>
  <c r="H45" i="35"/>
  <c r="I33" i="35"/>
  <c r="A163" i="35"/>
  <c r="C163" i="35" s="1"/>
  <c r="B166" i="35" s="1"/>
  <c r="I71" i="34"/>
  <c r="I67" i="34"/>
  <c r="I66" i="34"/>
  <c r="I63" i="34"/>
  <c r="H62" i="34"/>
  <c r="H61" i="34"/>
  <c r="H57" i="34"/>
  <c r="H45" i="34"/>
  <c r="I33" i="34"/>
  <c r="I38" i="34" s="1"/>
  <c r="I71" i="33"/>
  <c r="I67" i="33"/>
  <c r="I66" i="33"/>
  <c r="I63" i="33"/>
  <c r="H62" i="33"/>
  <c r="H61" i="33"/>
  <c r="H57" i="33"/>
  <c r="H45" i="33"/>
  <c r="A163" i="33"/>
  <c r="B166" i="33" s="1"/>
  <c r="I71" i="32"/>
  <c r="I67" i="32"/>
  <c r="I66" i="32"/>
  <c r="I63" i="32"/>
  <c r="H62" i="32"/>
  <c r="H61" i="32"/>
  <c r="H57" i="32"/>
  <c r="H45" i="32"/>
  <c r="A163" i="32"/>
  <c r="C163" i="32" s="1"/>
  <c r="B166" i="32" s="1"/>
  <c r="I71" i="31"/>
  <c r="I67" i="31"/>
  <c r="I66" i="31"/>
  <c r="I63" i="31"/>
  <c r="H62" i="31"/>
  <c r="H61" i="31"/>
  <c r="H57" i="31"/>
  <c r="H45" i="31"/>
  <c r="A163" i="31"/>
  <c r="B166" i="31" s="1"/>
  <c r="I71" i="29"/>
  <c r="I67" i="29"/>
  <c r="I66" i="29"/>
  <c r="I63" i="29"/>
  <c r="H62" i="29"/>
  <c r="H61" i="29"/>
  <c r="H57" i="29"/>
  <c r="H45" i="29"/>
  <c r="A163" i="29"/>
  <c r="C163" i="29" s="1"/>
  <c r="B166" i="29" s="1"/>
  <c r="I71" i="28"/>
  <c r="I67" i="28"/>
  <c r="I66" i="28"/>
  <c r="I63" i="28"/>
  <c r="H62" i="28"/>
  <c r="H61" i="28"/>
  <c r="H57" i="28"/>
  <c r="H45" i="28"/>
  <c r="I33" i="28"/>
  <c r="I38" i="28" s="1"/>
  <c r="A163" i="28"/>
  <c r="C163" i="28" s="1"/>
  <c r="B166" i="28" s="1"/>
  <c r="I71" i="27"/>
  <c r="I67" i="27"/>
  <c r="I66" i="27"/>
  <c r="I63" i="27"/>
  <c r="H62" i="27"/>
  <c r="H61" i="27"/>
  <c r="H57" i="27"/>
  <c r="H45" i="27"/>
  <c r="A163" i="27"/>
  <c r="B166" i="27" s="1"/>
  <c r="I71" i="26"/>
  <c r="I67" i="26"/>
  <c r="I66" i="26"/>
  <c r="I63" i="26"/>
  <c r="H62" i="26"/>
  <c r="H57" i="26"/>
  <c r="H45" i="26"/>
  <c r="I33" i="26"/>
  <c r="I38" i="26" s="1"/>
  <c r="I71" i="25"/>
  <c r="I67" i="25"/>
  <c r="I66" i="25"/>
  <c r="I63" i="25"/>
  <c r="H62" i="25"/>
  <c r="H61" i="25"/>
  <c r="H57" i="25"/>
  <c r="H45" i="25"/>
  <c r="I71" i="24"/>
  <c r="I67" i="24"/>
  <c r="I66" i="24"/>
  <c r="I63" i="24"/>
  <c r="H62" i="24"/>
  <c r="H61" i="24"/>
  <c r="H57" i="24"/>
  <c r="H45" i="24"/>
  <c r="A163" i="24"/>
  <c r="C163" i="24" s="1"/>
  <c r="B166" i="24" s="1"/>
  <c r="I71" i="23"/>
  <c r="I67" i="23"/>
  <c r="I66" i="23"/>
  <c r="I63" i="23"/>
  <c r="H62" i="23"/>
  <c r="H61" i="23"/>
  <c r="H57" i="23"/>
  <c r="H45" i="23"/>
  <c r="A163" i="23"/>
  <c r="C163" i="23" s="1"/>
  <c r="B166" i="23" s="1"/>
  <c r="I71" i="22"/>
  <c r="I67" i="22"/>
  <c r="I66" i="22"/>
  <c r="I63" i="22"/>
  <c r="H62" i="22"/>
  <c r="H61" i="22"/>
  <c r="H57" i="22"/>
  <c r="H45" i="22"/>
  <c r="A163" i="22"/>
  <c r="C163" i="22" s="1"/>
  <c r="B166" i="22" s="1"/>
  <c r="I71" i="21"/>
  <c r="I67" i="21"/>
  <c r="I66" i="21"/>
  <c r="I63" i="21"/>
  <c r="H62" i="21"/>
  <c r="H61" i="21"/>
  <c r="H57" i="21"/>
  <c r="H45" i="21"/>
  <c r="A163" i="21"/>
  <c r="C163" i="21" s="1"/>
  <c r="B166" i="21" s="1"/>
  <c r="I71" i="20"/>
  <c r="I67" i="20"/>
  <c r="I66" i="20"/>
  <c r="I63" i="20"/>
  <c r="H62" i="20"/>
  <c r="H61" i="20"/>
  <c r="H57" i="20"/>
  <c r="H45" i="20"/>
  <c r="I33" i="20"/>
  <c r="I38" i="20" s="1"/>
  <c r="I71" i="19"/>
  <c r="I67" i="19"/>
  <c r="I66" i="19"/>
  <c r="I63" i="19"/>
  <c r="H62" i="19"/>
  <c r="H57" i="19"/>
  <c r="H45" i="19"/>
  <c r="I33" i="19"/>
  <c r="I38" i="19" s="1"/>
  <c r="I71" i="18"/>
  <c r="I67" i="18"/>
  <c r="I66" i="18"/>
  <c r="I63" i="18"/>
  <c r="H62" i="18"/>
  <c r="H61" i="18"/>
  <c r="H57" i="18"/>
  <c r="H45" i="18"/>
  <c r="A163" i="18"/>
  <c r="B166" i="18" s="1"/>
  <c r="I69" i="4"/>
  <c r="I67" i="4"/>
  <c r="I63" i="4"/>
  <c r="E10" i="53"/>
  <c r="F10" i="53" s="1"/>
  <c r="E8" i="53"/>
  <c r="F8" i="53" s="1"/>
  <c r="E6" i="53"/>
  <c r="F6" i="53" s="1"/>
  <c r="E4" i="53"/>
  <c r="F4" i="53" s="1"/>
  <c r="E2" i="53"/>
  <c r="F2" i="53" s="1"/>
  <c r="G53" i="44"/>
  <c r="H53" i="44" s="1"/>
  <c r="G52" i="44"/>
  <c r="G58" i="44"/>
  <c r="H58" i="44" s="1"/>
  <c r="G57" i="44"/>
  <c r="H57" i="44" s="1"/>
  <c r="G56" i="44"/>
  <c r="H56" i="44" s="1"/>
  <c r="H99" i="42" l="1"/>
  <c r="H88" i="42"/>
  <c r="H99" i="41"/>
  <c r="H88" i="41"/>
  <c r="H99" i="40"/>
  <c r="H88" i="40"/>
  <c r="H99" i="39"/>
  <c r="H88" i="39"/>
  <c r="H99" i="38"/>
  <c r="H88" i="38"/>
  <c r="H99" i="37"/>
  <c r="H88" i="37"/>
  <c r="H99" i="36"/>
  <c r="H88" i="36"/>
  <c r="H99" i="35"/>
  <c r="H88" i="35"/>
  <c r="H99" i="34"/>
  <c r="H88" i="34"/>
  <c r="H99" i="33"/>
  <c r="H88" i="33"/>
  <c r="H99" i="32"/>
  <c r="H88" i="32"/>
  <c r="H99" i="31"/>
  <c r="H88" i="31"/>
  <c r="H99" i="29"/>
  <c r="H88" i="29"/>
  <c r="H99" i="28"/>
  <c r="H88" i="28"/>
  <c r="H99" i="27"/>
  <c r="H88" i="27"/>
  <c r="H99" i="26"/>
  <c r="H88" i="26"/>
  <c r="H99" i="25"/>
  <c r="H88" i="25"/>
  <c r="H99" i="24"/>
  <c r="H88" i="24"/>
  <c r="H99" i="23"/>
  <c r="H88" i="23"/>
  <c r="H99" i="22"/>
  <c r="H88" i="22"/>
  <c r="H99" i="21"/>
  <c r="H88" i="21"/>
  <c r="H99" i="20"/>
  <c r="H88" i="20"/>
  <c r="H99" i="19"/>
  <c r="H88" i="19"/>
  <c r="H99" i="18"/>
  <c r="H88" i="18"/>
  <c r="G59" i="44"/>
  <c r="H59" i="44" s="1"/>
  <c r="I116" i="51" s="1"/>
  <c r="I38" i="35"/>
  <c r="I43" i="35" s="1"/>
  <c r="I38" i="37"/>
  <c r="I44" i="37" s="1"/>
  <c r="H99" i="43"/>
  <c r="H88" i="43"/>
  <c r="F163" i="41"/>
  <c r="H163" i="41" s="1"/>
  <c r="G166" i="41" s="1"/>
  <c r="H166" i="41" s="1"/>
  <c r="I62" i="41" s="1"/>
  <c r="F163" i="42"/>
  <c r="H163" i="42" s="1"/>
  <c r="G166" i="42" s="1"/>
  <c r="H166" i="42" s="1"/>
  <c r="I62" i="42" s="1"/>
  <c r="I33" i="18"/>
  <c r="F163" i="43"/>
  <c r="H163" i="43" s="1"/>
  <c r="G166" i="43" s="1"/>
  <c r="H166" i="43" s="1"/>
  <c r="I62" i="43" s="1"/>
  <c r="C166" i="42"/>
  <c r="I33" i="42"/>
  <c r="I38" i="42" s="1"/>
  <c r="C166" i="41"/>
  <c r="I33" i="41"/>
  <c r="F163" i="40"/>
  <c r="H163" i="40" s="1"/>
  <c r="G166" i="40" s="1"/>
  <c r="H166" i="40" s="1"/>
  <c r="I62" i="40" s="1"/>
  <c r="I33" i="40"/>
  <c r="I38" i="40" s="1"/>
  <c r="C166" i="40"/>
  <c r="I33" i="39"/>
  <c r="I38" i="39" s="1"/>
  <c r="F163" i="39"/>
  <c r="H163" i="39" s="1"/>
  <c r="G166" i="39" s="1"/>
  <c r="H166" i="39" s="1"/>
  <c r="I62" i="39" s="1"/>
  <c r="C166" i="39"/>
  <c r="F163" i="38"/>
  <c r="H163" i="38" s="1"/>
  <c r="G166" i="38" s="1"/>
  <c r="H166" i="38" s="1"/>
  <c r="I62" i="38" s="1"/>
  <c r="C166" i="38"/>
  <c r="F163" i="37"/>
  <c r="H163" i="37" s="1"/>
  <c r="G166" i="37" s="1"/>
  <c r="H166" i="37" s="1"/>
  <c r="I62" i="37" s="1"/>
  <c r="A163" i="37"/>
  <c r="C163" i="37" s="1"/>
  <c r="B166" i="37" s="1"/>
  <c r="C166" i="37" s="1"/>
  <c r="F163" i="36"/>
  <c r="H163" i="36" s="1"/>
  <c r="G166" i="36" s="1"/>
  <c r="H166" i="36" s="1"/>
  <c r="I62" i="36" s="1"/>
  <c r="I33" i="36"/>
  <c r="I38" i="36" s="1"/>
  <c r="C166" i="36"/>
  <c r="F163" i="35"/>
  <c r="H163" i="35" s="1"/>
  <c r="G166" i="35" s="1"/>
  <c r="H166" i="35" s="1"/>
  <c r="I62" i="35" s="1"/>
  <c r="F163" i="32"/>
  <c r="H163" i="32" s="1"/>
  <c r="G166" i="32" s="1"/>
  <c r="H166" i="32" s="1"/>
  <c r="I62" i="32" s="1"/>
  <c r="F163" i="31"/>
  <c r="H163" i="31" s="1"/>
  <c r="G166" i="31" s="1"/>
  <c r="H166" i="31" s="1"/>
  <c r="I62" i="31" s="1"/>
  <c r="I33" i="31"/>
  <c r="I38" i="31" s="1"/>
  <c r="F163" i="29"/>
  <c r="H163" i="29" s="1"/>
  <c r="G166" i="29" s="1"/>
  <c r="H166" i="29" s="1"/>
  <c r="I62" i="29" s="1"/>
  <c r="C166" i="29"/>
  <c r="I33" i="29"/>
  <c r="I38" i="29" s="1"/>
  <c r="F163" i="28"/>
  <c r="H163" i="28" s="1"/>
  <c r="G166" i="28" s="1"/>
  <c r="H166" i="28" s="1"/>
  <c r="I62" i="28" s="1"/>
  <c r="F163" i="27"/>
  <c r="H163" i="27" s="1"/>
  <c r="G166" i="27" s="1"/>
  <c r="H166" i="27" s="1"/>
  <c r="I62" i="27" s="1"/>
  <c r="I33" i="27"/>
  <c r="I38" i="27" s="1"/>
  <c r="F163" i="26"/>
  <c r="H163" i="26" s="1"/>
  <c r="G166" i="26" s="1"/>
  <c r="H166" i="26" s="1"/>
  <c r="I62" i="26" s="1"/>
  <c r="A163" i="26"/>
  <c r="B166" i="26" s="1"/>
  <c r="C166" i="26" s="1"/>
  <c r="I33" i="25"/>
  <c r="I38" i="25" s="1"/>
  <c r="A163" i="25"/>
  <c r="C163" i="25" s="1"/>
  <c r="B166" i="25" s="1"/>
  <c r="C166" i="25" s="1"/>
  <c r="F163" i="25"/>
  <c r="H163" i="25" s="1"/>
  <c r="G166" i="25" s="1"/>
  <c r="H166" i="25" s="1"/>
  <c r="I62" i="25" s="1"/>
  <c r="I33" i="24"/>
  <c r="I38" i="24" s="1"/>
  <c r="F163" i="24"/>
  <c r="H163" i="24" s="1"/>
  <c r="G166" i="24" s="1"/>
  <c r="H166" i="24" s="1"/>
  <c r="I62" i="24" s="1"/>
  <c r="I33" i="23"/>
  <c r="I38" i="23" s="1"/>
  <c r="F163" i="23"/>
  <c r="H163" i="23" s="1"/>
  <c r="G166" i="23" s="1"/>
  <c r="H166" i="23" s="1"/>
  <c r="I62" i="23" s="1"/>
  <c r="C166" i="22"/>
  <c r="F163" i="22"/>
  <c r="H163" i="22" s="1"/>
  <c r="G166" i="22" s="1"/>
  <c r="H166" i="22" s="1"/>
  <c r="I62" i="22" s="1"/>
  <c r="I33" i="21"/>
  <c r="I38" i="21" s="1"/>
  <c r="F163" i="21"/>
  <c r="H163" i="21" s="1"/>
  <c r="G166" i="21" s="1"/>
  <c r="H166" i="21" s="1"/>
  <c r="I62" i="21" s="1"/>
  <c r="A163" i="20"/>
  <c r="C163" i="20" s="1"/>
  <c r="B166" i="20" s="1"/>
  <c r="C166" i="20" s="1"/>
  <c r="F163" i="20"/>
  <c r="H163" i="20" s="1"/>
  <c r="G166" i="20" s="1"/>
  <c r="H166" i="20" s="1"/>
  <c r="I62" i="20" s="1"/>
  <c r="A163" i="19"/>
  <c r="C163" i="19" s="1"/>
  <c r="B166" i="19" s="1"/>
  <c r="C166" i="19" s="1"/>
  <c r="F163" i="19"/>
  <c r="H163" i="19" s="1"/>
  <c r="G166" i="19" s="1"/>
  <c r="H166" i="19" s="1"/>
  <c r="I62" i="19" s="1"/>
  <c r="F163" i="18"/>
  <c r="H163" i="18" s="1"/>
  <c r="G166" i="18" s="1"/>
  <c r="H166" i="18" s="1"/>
  <c r="I62" i="18" s="1"/>
  <c r="C166" i="28"/>
  <c r="I33" i="33"/>
  <c r="I38" i="33" s="1"/>
  <c r="F163" i="33"/>
  <c r="H163" i="33" s="1"/>
  <c r="G166" i="33" s="1"/>
  <c r="H166" i="33" s="1"/>
  <c r="I62" i="33" s="1"/>
  <c r="C166" i="33"/>
  <c r="F163" i="34"/>
  <c r="H163" i="34" s="1"/>
  <c r="G166" i="34" s="1"/>
  <c r="H166" i="34" s="1"/>
  <c r="I62" i="34" s="1"/>
  <c r="A163" i="34"/>
  <c r="C163" i="34" s="1"/>
  <c r="B166" i="34" s="1"/>
  <c r="C166" i="34" s="1"/>
  <c r="E3" i="53"/>
  <c r="E7" i="53"/>
  <c r="F7" i="53" s="1"/>
  <c r="C166" i="43"/>
  <c r="C166" i="35"/>
  <c r="C166" i="32"/>
  <c r="C166" i="31"/>
  <c r="C166" i="27"/>
  <c r="C166" i="24"/>
  <c r="C166" i="23"/>
  <c r="C166" i="21"/>
  <c r="C166" i="18"/>
  <c r="I33" i="38"/>
  <c r="I43" i="34"/>
  <c r="I33" i="32"/>
  <c r="I38" i="32" s="1"/>
  <c r="I44" i="28"/>
  <c r="I43" i="28"/>
  <c r="I33" i="22"/>
  <c r="I38" i="22" s="1"/>
  <c r="I44" i="19"/>
  <c r="I43" i="19"/>
  <c r="H52" i="44"/>
  <c r="I71" i="51"/>
  <c r="I67" i="51"/>
  <c r="I66" i="51"/>
  <c r="I63" i="51"/>
  <c r="A163" i="51"/>
  <c r="C163" i="51" s="1"/>
  <c r="B166" i="51" s="1"/>
  <c r="I160" i="51"/>
  <c r="F166" i="51" s="1"/>
  <c r="D160" i="51"/>
  <c r="A166" i="51" s="1"/>
  <c r="B146" i="51"/>
  <c r="B144" i="51"/>
  <c r="B143" i="51"/>
  <c r="B142" i="51"/>
  <c r="B141" i="51"/>
  <c r="B140" i="51"/>
  <c r="H136" i="51"/>
  <c r="H106" i="51"/>
  <c r="H57" i="51"/>
  <c r="H45" i="51"/>
  <c r="I33" i="51"/>
  <c r="I44" i="35" l="1"/>
  <c r="I45" i="35" s="1"/>
  <c r="I45" i="19"/>
  <c r="I56" i="19" s="1"/>
  <c r="H99" i="51"/>
  <c r="H101" i="51" s="1"/>
  <c r="H88" i="51"/>
  <c r="H90" i="51" s="1"/>
  <c r="I38" i="18"/>
  <c r="I87" i="22"/>
  <c r="I84" i="22"/>
  <c r="I88" i="22"/>
  <c r="I86" i="22"/>
  <c r="I85" i="22"/>
  <c r="I89" i="22"/>
  <c r="I43" i="37"/>
  <c r="I45" i="37" s="1"/>
  <c r="I55" i="37" s="1"/>
  <c r="I38" i="38"/>
  <c r="I43" i="38" s="1"/>
  <c r="I38" i="41"/>
  <c r="I45" i="28"/>
  <c r="I38" i="51"/>
  <c r="F3" i="53"/>
  <c r="F11" i="53" s="1"/>
  <c r="I118" i="51" s="1"/>
  <c r="I120" i="51" s="1"/>
  <c r="E11" i="53"/>
  <c r="I43" i="33"/>
  <c r="I43" i="26"/>
  <c r="I44" i="20"/>
  <c r="I43" i="20"/>
  <c r="I44" i="26"/>
  <c r="I44" i="42"/>
  <c r="I44" i="33"/>
  <c r="I43" i="27"/>
  <c r="I44" i="24"/>
  <c r="I43" i="21"/>
  <c r="I44" i="21"/>
  <c r="I44" i="43"/>
  <c r="I43" i="43"/>
  <c r="I43" i="42"/>
  <c r="I43" i="40"/>
  <c r="I44" i="40"/>
  <c r="I43" i="39"/>
  <c r="I44" i="39"/>
  <c r="I43" i="36"/>
  <c r="I44" i="36"/>
  <c r="I43" i="31"/>
  <c r="I44" i="31"/>
  <c r="I43" i="29"/>
  <c r="I44" i="29"/>
  <c r="I44" i="27"/>
  <c r="I44" i="25"/>
  <c r="I43" i="25"/>
  <c r="I43" i="24"/>
  <c r="I43" i="23"/>
  <c r="I44" i="23"/>
  <c r="I44" i="34"/>
  <c r="I45" i="34" s="1"/>
  <c r="I43" i="32"/>
  <c r="I44" i="32"/>
  <c r="I43" i="22"/>
  <c r="I44" i="22"/>
  <c r="F163" i="51"/>
  <c r="H163" i="51" s="1"/>
  <c r="G166" i="51" s="1"/>
  <c r="H166" i="51" s="1"/>
  <c r="I62" i="51" s="1"/>
  <c r="C166" i="51"/>
  <c r="I61" i="51" s="1"/>
  <c r="I45" i="42" l="1"/>
  <c r="I55" i="42" s="1"/>
  <c r="I45" i="43"/>
  <c r="I50" i="35"/>
  <c r="I51" i="35"/>
  <c r="I54" i="35"/>
  <c r="I53" i="35"/>
  <c r="I55" i="35"/>
  <c r="I52" i="35"/>
  <c r="I56" i="35"/>
  <c r="I49" i="35"/>
  <c r="I43" i="18"/>
  <c r="I73" i="51"/>
  <c r="I79" i="51" s="1"/>
  <c r="I45" i="24"/>
  <c r="I53" i="24" s="1"/>
  <c r="I45" i="36"/>
  <c r="I55" i="36" s="1"/>
  <c r="I45" i="32"/>
  <c r="I56" i="32" s="1"/>
  <c r="I45" i="29"/>
  <c r="I54" i="29" s="1"/>
  <c r="I54" i="19"/>
  <c r="I55" i="19"/>
  <c r="I45" i="31"/>
  <c r="I52" i="31" s="1"/>
  <c r="I45" i="26"/>
  <c r="I50" i="26" s="1"/>
  <c r="I45" i="20"/>
  <c r="I53" i="20" s="1"/>
  <c r="I49" i="19"/>
  <c r="I51" i="19"/>
  <c r="I52" i="19"/>
  <c r="I53" i="19"/>
  <c r="I50" i="19"/>
  <c r="I44" i="18"/>
  <c r="I45" i="21"/>
  <c r="I55" i="21" s="1"/>
  <c r="I45" i="22"/>
  <c r="I45" i="23"/>
  <c r="I45" i="25"/>
  <c r="I45" i="27"/>
  <c r="I45" i="33"/>
  <c r="I53" i="33" s="1"/>
  <c r="I56" i="34"/>
  <c r="I50" i="34"/>
  <c r="I55" i="34"/>
  <c r="I52" i="34"/>
  <c r="I53" i="34"/>
  <c r="I51" i="34"/>
  <c r="I49" i="34"/>
  <c r="I54" i="34"/>
  <c r="I53" i="37"/>
  <c r="I56" i="37"/>
  <c r="I49" i="37"/>
  <c r="I51" i="37"/>
  <c r="I54" i="37"/>
  <c r="I52" i="37"/>
  <c r="I50" i="37"/>
  <c r="I44" i="38"/>
  <c r="I45" i="38" s="1"/>
  <c r="I45" i="39"/>
  <c r="I45" i="40"/>
  <c r="I43" i="41"/>
  <c r="I44" i="41"/>
  <c r="I49" i="42"/>
  <c r="I54" i="42"/>
  <c r="I52" i="42"/>
  <c r="I53" i="42"/>
  <c r="I51" i="42"/>
  <c r="I50" i="42"/>
  <c r="I56" i="42"/>
  <c r="I49" i="28"/>
  <c r="I55" i="28"/>
  <c r="I53" i="28"/>
  <c r="I54" i="28"/>
  <c r="I51" i="28"/>
  <c r="I50" i="28"/>
  <c r="I56" i="28"/>
  <c r="I52" i="28"/>
  <c r="I56" i="43"/>
  <c r="I51" i="43"/>
  <c r="I50" i="43"/>
  <c r="I55" i="43"/>
  <c r="I52" i="43"/>
  <c r="I54" i="43"/>
  <c r="I49" i="43"/>
  <c r="I53" i="43"/>
  <c r="I140" i="51"/>
  <c r="I43" i="51"/>
  <c r="I88" i="51"/>
  <c r="I89" i="51"/>
  <c r="I44" i="51"/>
  <c r="I84" i="51"/>
  <c r="I85" i="51"/>
  <c r="I87" i="51"/>
  <c r="I105" i="51"/>
  <c r="I86" i="51"/>
  <c r="I45" i="18" l="1"/>
  <c r="I57" i="35"/>
  <c r="I50" i="32"/>
  <c r="I53" i="36"/>
  <c r="I54" i="36"/>
  <c r="I49" i="36"/>
  <c r="I52" i="36"/>
  <c r="I55" i="32"/>
  <c r="I54" i="32"/>
  <c r="I50" i="29"/>
  <c r="I49" i="29"/>
  <c r="I52" i="24"/>
  <c r="I54" i="24"/>
  <c r="I50" i="24"/>
  <c r="I55" i="24"/>
  <c r="I51" i="24"/>
  <c r="I49" i="24"/>
  <c r="I56" i="24"/>
  <c r="I50" i="36"/>
  <c r="I51" i="32"/>
  <c r="I52" i="29"/>
  <c r="I56" i="36"/>
  <c r="I53" i="32"/>
  <c r="I55" i="29"/>
  <c r="I51" i="36"/>
  <c r="I52" i="32"/>
  <c r="I51" i="29"/>
  <c r="I56" i="29"/>
  <c r="I54" i="33"/>
  <c r="I56" i="33"/>
  <c r="I55" i="33"/>
  <c r="I49" i="32"/>
  <c r="I49" i="31"/>
  <c r="I51" i="31"/>
  <c r="I50" i="31"/>
  <c r="I56" i="31"/>
  <c r="I53" i="31"/>
  <c r="I53" i="29"/>
  <c r="I53" i="26"/>
  <c r="I49" i="26"/>
  <c r="I52" i="26"/>
  <c r="I55" i="26"/>
  <c r="I54" i="26"/>
  <c r="I56" i="26"/>
  <c r="I51" i="26"/>
  <c r="I57" i="19"/>
  <c r="I45" i="41"/>
  <c r="I55" i="41" s="1"/>
  <c r="I57" i="34"/>
  <c r="I54" i="31"/>
  <c r="I55" i="31"/>
  <c r="I49" i="21"/>
  <c r="I56" i="21"/>
  <c r="I50" i="21"/>
  <c r="I49" i="20"/>
  <c r="I52" i="20"/>
  <c r="I55" i="20"/>
  <c r="I54" i="20"/>
  <c r="I56" i="20"/>
  <c r="I50" i="20"/>
  <c r="I51" i="20"/>
  <c r="I49" i="18"/>
  <c r="I54" i="18"/>
  <c r="I56" i="18"/>
  <c r="I50" i="18"/>
  <c r="I55" i="18"/>
  <c r="I52" i="18"/>
  <c r="I53" i="18"/>
  <c r="I51" i="18"/>
  <c r="I53" i="21"/>
  <c r="I54" i="21"/>
  <c r="I51" i="21"/>
  <c r="I52" i="21"/>
  <c r="I56" i="22"/>
  <c r="I51" i="22"/>
  <c r="I52" i="22"/>
  <c r="I53" i="22"/>
  <c r="I54" i="22"/>
  <c r="I49" i="22"/>
  <c r="I50" i="22"/>
  <c r="I55" i="22"/>
  <c r="I52" i="23"/>
  <c r="I56" i="23"/>
  <c r="I55" i="23"/>
  <c r="I54" i="23"/>
  <c r="I49" i="23"/>
  <c r="I51" i="23"/>
  <c r="I50" i="23"/>
  <c r="I53" i="23"/>
  <c r="I53" i="25"/>
  <c r="I52" i="25"/>
  <c r="I54" i="25"/>
  <c r="I55" i="25"/>
  <c r="I49" i="25"/>
  <c r="I51" i="25"/>
  <c r="I50" i="25"/>
  <c r="I56" i="25"/>
  <c r="I52" i="27"/>
  <c r="I55" i="27"/>
  <c r="I53" i="27"/>
  <c r="I51" i="27"/>
  <c r="I49" i="27"/>
  <c r="I54" i="27"/>
  <c r="I56" i="27"/>
  <c r="I50" i="27"/>
  <c r="I52" i="33"/>
  <c r="I51" i="33"/>
  <c r="I49" i="33"/>
  <c r="I50" i="33"/>
  <c r="I57" i="37"/>
  <c r="I56" i="38"/>
  <c r="I51" i="38"/>
  <c r="I52" i="38"/>
  <c r="I53" i="38"/>
  <c r="I49" i="38"/>
  <c r="I54" i="38"/>
  <c r="I55" i="38"/>
  <c r="I50" i="38"/>
  <c r="I53" i="39"/>
  <c r="I50" i="39"/>
  <c r="I55" i="39"/>
  <c r="I49" i="39"/>
  <c r="I52" i="39"/>
  <c r="I54" i="39"/>
  <c r="I56" i="39"/>
  <c r="I51" i="39"/>
  <c r="I56" i="40"/>
  <c r="I54" i="40"/>
  <c r="I52" i="40"/>
  <c r="I50" i="40"/>
  <c r="I53" i="40"/>
  <c r="I55" i="40"/>
  <c r="I49" i="40"/>
  <c r="I51" i="40"/>
  <c r="I57" i="42"/>
  <c r="I57" i="28"/>
  <c r="I57" i="43"/>
  <c r="I106" i="51"/>
  <c r="I111" i="51" s="1"/>
  <c r="I45" i="51"/>
  <c r="I90" i="51"/>
  <c r="I142" i="51" s="1"/>
  <c r="I57" i="24" l="1"/>
  <c r="I57" i="32"/>
  <c r="I49" i="41"/>
  <c r="I56" i="41"/>
  <c r="I50" i="41"/>
  <c r="I57" i="36"/>
  <c r="I57" i="26"/>
  <c r="I57" i="29"/>
  <c r="I57" i="31"/>
  <c r="I57" i="20"/>
  <c r="I51" i="41"/>
  <c r="I54" i="41"/>
  <c r="I53" i="41"/>
  <c r="I52" i="41"/>
  <c r="I57" i="22"/>
  <c r="I57" i="21"/>
  <c r="I57" i="18"/>
  <c r="I57" i="23"/>
  <c r="I57" i="25"/>
  <c r="I57" i="27"/>
  <c r="I57" i="33"/>
  <c r="I57" i="38"/>
  <c r="I57" i="39"/>
  <c r="I57" i="40"/>
  <c r="I51" i="51"/>
  <c r="I55" i="51"/>
  <c r="I56" i="51"/>
  <c r="I54" i="51"/>
  <c r="I50" i="51"/>
  <c r="I53" i="51"/>
  <c r="I49" i="51"/>
  <c r="I52" i="51"/>
  <c r="I77" i="51"/>
  <c r="I71" i="17"/>
  <c r="I71" i="16"/>
  <c r="I71" i="11"/>
  <c r="I71" i="10"/>
  <c r="I71" i="9"/>
  <c r="I71" i="4"/>
  <c r="I71" i="3"/>
  <c r="I57" i="41" l="1"/>
  <c r="I57" i="51"/>
  <c r="I78" i="51" s="1"/>
  <c r="I80" i="51" s="1"/>
  <c r="I67" i="17"/>
  <c r="I66" i="17"/>
  <c r="I63" i="17"/>
  <c r="I67" i="16"/>
  <c r="I66" i="16"/>
  <c r="I63" i="16"/>
  <c r="I67" i="11"/>
  <c r="I66" i="11"/>
  <c r="I63" i="11"/>
  <c r="I67" i="10"/>
  <c r="I66" i="10"/>
  <c r="I63" i="10"/>
  <c r="I67" i="9"/>
  <c r="I66" i="9"/>
  <c r="I63" i="9"/>
  <c r="I67" i="3"/>
  <c r="I66" i="3"/>
  <c r="I63" i="3"/>
  <c r="I141" i="51" l="1"/>
  <c r="I98" i="51"/>
  <c r="I96" i="51"/>
  <c r="I100" i="51"/>
  <c r="I99" i="51"/>
  <c r="I95" i="51"/>
  <c r="I97" i="51"/>
  <c r="I101" i="51" l="1"/>
  <c r="I110" i="51" s="1"/>
  <c r="I112" i="51" s="1"/>
  <c r="I143" i="51" s="1"/>
  <c r="I73" i="18" l="1"/>
  <c r="A163" i="4" l="1"/>
  <c r="C163" i="4" s="1"/>
  <c r="B166" i="4" s="1"/>
  <c r="I160" i="4"/>
  <c r="F166" i="4" s="1"/>
  <c r="D160" i="4"/>
  <c r="A166" i="4" s="1"/>
  <c r="I152" i="4"/>
  <c r="C152" i="4"/>
  <c r="B146" i="4"/>
  <c r="B144" i="4"/>
  <c r="B143" i="4"/>
  <c r="B142" i="4"/>
  <c r="B141" i="4"/>
  <c r="B140" i="4"/>
  <c r="H136" i="4"/>
  <c r="H106" i="4"/>
  <c r="H57" i="4"/>
  <c r="H45" i="4"/>
  <c r="I33" i="4"/>
  <c r="I38" i="4" s="1"/>
  <c r="A163" i="3"/>
  <c r="C163" i="3" s="1"/>
  <c r="B166" i="3" s="1"/>
  <c r="I160" i="3"/>
  <c r="F166" i="3" s="1"/>
  <c r="D160" i="3"/>
  <c r="A166" i="3" s="1"/>
  <c r="I152" i="3"/>
  <c r="C152" i="3"/>
  <c r="B146" i="3"/>
  <c r="B144" i="3"/>
  <c r="B143" i="3"/>
  <c r="B142" i="3"/>
  <c r="B141" i="3"/>
  <c r="B140" i="3"/>
  <c r="H136" i="3"/>
  <c r="H106" i="3"/>
  <c r="H61" i="3"/>
  <c r="H57" i="3"/>
  <c r="H45" i="3"/>
  <c r="I33" i="3"/>
  <c r="I38" i="3" s="1"/>
  <c r="I85" i="3" l="1"/>
  <c r="H99" i="3"/>
  <c r="H101" i="3" s="1"/>
  <c r="H88" i="3"/>
  <c r="H90" i="3" s="1"/>
  <c r="H99" i="4"/>
  <c r="H101" i="4" s="1"/>
  <c r="H88" i="4"/>
  <c r="H90" i="4" s="1"/>
  <c r="C166" i="4"/>
  <c r="I61" i="4" s="1"/>
  <c r="I89" i="4"/>
  <c r="I105" i="4"/>
  <c r="I106" i="4" s="1"/>
  <c r="I111" i="4" s="1"/>
  <c r="I140" i="4"/>
  <c r="I44" i="4"/>
  <c r="I87" i="4"/>
  <c r="I43" i="4"/>
  <c r="I86" i="4"/>
  <c r="I84" i="4"/>
  <c r="I88" i="4"/>
  <c r="I85" i="4"/>
  <c r="F163" i="4"/>
  <c r="H163" i="4" s="1"/>
  <c r="G166" i="4" s="1"/>
  <c r="H166" i="4" s="1"/>
  <c r="I62" i="4" s="1"/>
  <c r="C166" i="3"/>
  <c r="I61" i="3" s="1"/>
  <c r="I89" i="3"/>
  <c r="I44" i="3"/>
  <c r="I140" i="3"/>
  <c r="F163" i="3"/>
  <c r="H163" i="3" s="1"/>
  <c r="G166" i="3" s="1"/>
  <c r="H166" i="3" s="1"/>
  <c r="I62" i="3" s="1"/>
  <c r="I84" i="3"/>
  <c r="I86" i="3"/>
  <c r="I105" i="3"/>
  <c r="I43" i="3"/>
  <c r="I87" i="3"/>
  <c r="B146" i="43"/>
  <c r="B144" i="43"/>
  <c r="B143" i="43"/>
  <c r="B142" i="43"/>
  <c r="B141" i="43"/>
  <c r="B140" i="43"/>
  <c r="H136" i="43"/>
  <c r="H106" i="43"/>
  <c r="H101" i="43"/>
  <c r="B146" i="42"/>
  <c r="B144" i="42"/>
  <c r="B143" i="42"/>
  <c r="B142" i="42"/>
  <c r="B141" i="42"/>
  <c r="B140" i="42"/>
  <c r="H136" i="42"/>
  <c r="H106" i="42"/>
  <c r="H101" i="42"/>
  <c r="B146" i="41"/>
  <c r="B144" i="41"/>
  <c r="B143" i="41"/>
  <c r="B142" i="41"/>
  <c r="B141" i="41"/>
  <c r="B140" i="41"/>
  <c r="H136" i="41"/>
  <c r="H106" i="41"/>
  <c r="H101" i="41"/>
  <c r="B146" i="40"/>
  <c r="B144" i="40"/>
  <c r="B143" i="40"/>
  <c r="B142" i="40"/>
  <c r="B141" i="40"/>
  <c r="B140" i="40"/>
  <c r="H136" i="40"/>
  <c r="H106" i="40"/>
  <c r="H101" i="40"/>
  <c r="B146" i="39"/>
  <c r="B144" i="39"/>
  <c r="B143" i="39"/>
  <c r="B142" i="39"/>
  <c r="B141" i="39"/>
  <c r="B140" i="39"/>
  <c r="H136" i="39"/>
  <c r="H106" i="39"/>
  <c r="H101" i="39"/>
  <c r="B146" i="38"/>
  <c r="B144" i="38"/>
  <c r="B143" i="38"/>
  <c r="B142" i="38"/>
  <c r="B141" i="38"/>
  <c r="B140" i="38"/>
  <c r="H136" i="38"/>
  <c r="H106" i="38"/>
  <c r="H101" i="38"/>
  <c r="B146" i="37"/>
  <c r="B144" i="37"/>
  <c r="B143" i="37"/>
  <c r="B142" i="37"/>
  <c r="B141" i="37"/>
  <c r="B140" i="37"/>
  <c r="H136" i="37"/>
  <c r="H106" i="37"/>
  <c r="H101" i="37"/>
  <c r="B146" i="36"/>
  <c r="B144" i="36"/>
  <c r="B143" i="36"/>
  <c r="B142" i="36"/>
  <c r="B141" i="36"/>
  <c r="B140" i="36"/>
  <c r="H136" i="36"/>
  <c r="H106" i="36"/>
  <c r="H101" i="36"/>
  <c r="B146" i="35"/>
  <c r="B144" i="35"/>
  <c r="B143" i="35"/>
  <c r="B142" i="35"/>
  <c r="B141" i="35"/>
  <c r="B140" i="35"/>
  <c r="H136" i="35"/>
  <c r="H106" i="35"/>
  <c r="H101" i="35"/>
  <c r="B146" i="34"/>
  <c r="B144" i="34"/>
  <c r="B143" i="34"/>
  <c r="B142" i="34"/>
  <c r="B141" i="34"/>
  <c r="B140" i="34"/>
  <c r="H136" i="34"/>
  <c r="H106" i="34"/>
  <c r="H101" i="34"/>
  <c r="B146" i="33"/>
  <c r="B144" i="33"/>
  <c r="B143" i="33"/>
  <c r="B142" i="33"/>
  <c r="B141" i="33"/>
  <c r="B140" i="33"/>
  <c r="H136" i="33"/>
  <c r="H106" i="33"/>
  <c r="H101" i="33"/>
  <c r="B146" i="32"/>
  <c r="B144" i="32"/>
  <c r="B143" i="32"/>
  <c r="B142" i="32"/>
  <c r="B141" i="32"/>
  <c r="B140" i="32"/>
  <c r="H136" i="32"/>
  <c r="H106" i="32"/>
  <c r="H101" i="32"/>
  <c r="B146" i="31"/>
  <c r="B144" i="31"/>
  <c r="B143" i="31"/>
  <c r="B142" i="31"/>
  <c r="B141" i="31"/>
  <c r="B140" i="31"/>
  <c r="H136" i="31"/>
  <c r="H106" i="31"/>
  <c r="H101" i="31"/>
  <c r="B146" i="29"/>
  <c r="B144" i="29"/>
  <c r="B143" i="29"/>
  <c r="B142" i="29"/>
  <c r="B141" i="29"/>
  <c r="B140" i="29"/>
  <c r="H136" i="29"/>
  <c r="H106" i="29"/>
  <c r="H101" i="29"/>
  <c r="B146" i="28"/>
  <c r="B144" i="28"/>
  <c r="B143" i="28"/>
  <c r="B142" i="28"/>
  <c r="B141" i="28"/>
  <c r="B140" i="28"/>
  <c r="H136" i="28"/>
  <c r="H106" i="28"/>
  <c r="H101" i="28"/>
  <c r="B146" i="27"/>
  <c r="B144" i="27"/>
  <c r="B143" i="27"/>
  <c r="B142" i="27"/>
  <c r="B141" i="27"/>
  <c r="B140" i="27"/>
  <c r="H136" i="27"/>
  <c r="H106" i="27"/>
  <c r="H101" i="27"/>
  <c r="I105" i="27"/>
  <c r="B146" i="26"/>
  <c r="B144" i="26"/>
  <c r="B143" i="26"/>
  <c r="B142" i="26"/>
  <c r="B141" i="26"/>
  <c r="B140" i="26"/>
  <c r="H136" i="26"/>
  <c r="H106" i="26"/>
  <c r="H101" i="26"/>
  <c r="B146" i="25"/>
  <c r="B144" i="25"/>
  <c r="B143" i="25"/>
  <c r="B142" i="25"/>
  <c r="B141" i="25"/>
  <c r="B140" i="25"/>
  <c r="H136" i="25"/>
  <c r="H106" i="25"/>
  <c r="H101" i="25"/>
  <c r="B146" i="24"/>
  <c r="B144" i="24"/>
  <c r="B143" i="24"/>
  <c r="B142" i="24"/>
  <c r="B141" i="24"/>
  <c r="B140" i="24"/>
  <c r="H136" i="24"/>
  <c r="H106" i="24"/>
  <c r="H101" i="24"/>
  <c r="B146" i="23"/>
  <c r="B144" i="23"/>
  <c r="B143" i="23"/>
  <c r="B142" i="23"/>
  <c r="B141" i="23"/>
  <c r="B140" i="23"/>
  <c r="H136" i="23"/>
  <c r="H106" i="23"/>
  <c r="H101" i="23"/>
  <c r="B146" i="22"/>
  <c r="B144" i="22"/>
  <c r="B143" i="22"/>
  <c r="B142" i="22"/>
  <c r="B141" i="22"/>
  <c r="B140" i="22"/>
  <c r="H136" i="22"/>
  <c r="H106" i="22"/>
  <c r="H101" i="22"/>
  <c r="B146" i="21"/>
  <c r="B144" i="21"/>
  <c r="B143" i="21"/>
  <c r="B142" i="21"/>
  <c r="B141" i="21"/>
  <c r="B140" i="21"/>
  <c r="H136" i="21"/>
  <c r="H106" i="21"/>
  <c r="H101" i="21"/>
  <c r="I140" i="21"/>
  <c r="I45" i="3" l="1"/>
  <c r="I56" i="3" s="1"/>
  <c r="I73" i="3"/>
  <c r="I79" i="3" s="1"/>
  <c r="I88" i="3"/>
  <c r="I90" i="3" s="1"/>
  <c r="I142" i="3" s="1"/>
  <c r="I106" i="3"/>
  <c r="I111" i="3" s="1"/>
  <c r="I49" i="3"/>
  <c r="I106" i="27"/>
  <c r="I111" i="27" s="1"/>
  <c r="H90" i="21"/>
  <c r="H90" i="23"/>
  <c r="H90" i="24"/>
  <c r="H90" i="29"/>
  <c r="I105" i="32"/>
  <c r="I89" i="32"/>
  <c r="I87" i="32"/>
  <c r="I61" i="32"/>
  <c r="I73" i="32" s="1"/>
  <c r="I61" i="35"/>
  <c r="I73" i="35" s="1"/>
  <c r="I73" i="4"/>
  <c r="I79" i="4" s="1"/>
  <c r="I90" i="4"/>
  <c r="I142" i="4" s="1"/>
  <c r="I45" i="4"/>
  <c r="H90" i="42"/>
  <c r="I61" i="41"/>
  <c r="I73" i="41" s="1"/>
  <c r="I61" i="39"/>
  <c r="I73" i="39" s="1"/>
  <c r="H90" i="39"/>
  <c r="H90" i="38"/>
  <c r="H90" i="37"/>
  <c r="I61" i="43"/>
  <c r="I73" i="43" s="1"/>
  <c r="I88" i="43"/>
  <c r="I140" i="43"/>
  <c r="I89" i="43"/>
  <c r="I87" i="43"/>
  <c r="I105" i="43"/>
  <c r="I86" i="43"/>
  <c r="I84" i="43"/>
  <c r="H90" i="43"/>
  <c r="I85" i="43"/>
  <c r="I61" i="42"/>
  <c r="I73" i="42" s="1"/>
  <c r="I86" i="42"/>
  <c r="I84" i="42"/>
  <c r="I88" i="42"/>
  <c r="I140" i="42"/>
  <c r="I89" i="42"/>
  <c r="I87" i="42"/>
  <c r="I105" i="42"/>
  <c r="I85" i="42"/>
  <c r="I89" i="41"/>
  <c r="I87" i="41"/>
  <c r="I105" i="41"/>
  <c r="I86" i="41"/>
  <c r="I84" i="41"/>
  <c r="I140" i="41"/>
  <c r="I88" i="41"/>
  <c r="I85" i="41"/>
  <c r="H90" i="41"/>
  <c r="I61" i="40"/>
  <c r="I73" i="40" s="1"/>
  <c r="I87" i="40"/>
  <c r="I105" i="40"/>
  <c r="I86" i="40"/>
  <c r="I84" i="40"/>
  <c r="I88" i="40"/>
  <c r="I140" i="40"/>
  <c r="I89" i="40"/>
  <c r="I85" i="40"/>
  <c r="H90" i="40"/>
  <c r="I89" i="39"/>
  <c r="I87" i="39"/>
  <c r="I105" i="39"/>
  <c r="I86" i="39"/>
  <c r="I84" i="39"/>
  <c r="I88" i="39"/>
  <c r="I140" i="39"/>
  <c r="I85" i="39"/>
  <c r="I73" i="38"/>
  <c r="I105" i="38"/>
  <c r="I86" i="38"/>
  <c r="I84" i="38"/>
  <c r="I140" i="38"/>
  <c r="I89" i="38"/>
  <c r="I87" i="38"/>
  <c r="I88" i="38"/>
  <c r="I85" i="38"/>
  <c r="I61" i="37"/>
  <c r="I73" i="37" s="1"/>
  <c r="I87" i="37"/>
  <c r="I105" i="37"/>
  <c r="I86" i="37"/>
  <c r="I84" i="37"/>
  <c r="I88" i="37"/>
  <c r="I140" i="37"/>
  <c r="I89" i="37"/>
  <c r="I85" i="37"/>
  <c r="I73" i="36"/>
  <c r="I86" i="36"/>
  <c r="I85" i="36"/>
  <c r="H90" i="36"/>
  <c r="I140" i="36"/>
  <c r="I84" i="36"/>
  <c r="I88" i="36"/>
  <c r="I105" i="36"/>
  <c r="I106" i="36" s="1"/>
  <c r="I111" i="36" s="1"/>
  <c r="I87" i="36"/>
  <c r="I89" i="36"/>
  <c r="I85" i="35"/>
  <c r="H90" i="35"/>
  <c r="I140" i="35"/>
  <c r="I88" i="35"/>
  <c r="I84" i="35"/>
  <c r="I86" i="35"/>
  <c r="I105" i="35"/>
  <c r="I77" i="35"/>
  <c r="I87" i="35"/>
  <c r="I89" i="35"/>
  <c r="I89" i="34"/>
  <c r="I105" i="34"/>
  <c r="I86" i="34"/>
  <c r="I84" i="34"/>
  <c r="I140" i="34"/>
  <c r="I88" i="34"/>
  <c r="I87" i="34"/>
  <c r="I61" i="34"/>
  <c r="I73" i="34" s="1"/>
  <c r="I85" i="34"/>
  <c r="H90" i="34"/>
  <c r="I73" i="33"/>
  <c r="I105" i="33"/>
  <c r="I106" i="33" s="1"/>
  <c r="I111" i="33" s="1"/>
  <c r="I86" i="33"/>
  <c r="I84" i="33"/>
  <c r="I88" i="33"/>
  <c r="I140" i="33"/>
  <c r="I89" i="33"/>
  <c r="I87" i="33"/>
  <c r="I85" i="33"/>
  <c r="H90" i="33"/>
  <c r="I85" i="32"/>
  <c r="H90" i="32"/>
  <c r="I140" i="32"/>
  <c r="I88" i="32"/>
  <c r="I84" i="32"/>
  <c r="I86" i="32"/>
  <c r="I73" i="31"/>
  <c r="I84" i="31"/>
  <c r="I86" i="31"/>
  <c r="I105" i="31"/>
  <c r="I89" i="31"/>
  <c r="I85" i="31"/>
  <c r="H90" i="31"/>
  <c r="I140" i="31"/>
  <c r="I87" i="31"/>
  <c r="I88" i="31"/>
  <c r="I61" i="29"/>
  <c r="I73" i="29" s="1"/>
  <c r="I89" i="29"/>
  <c r="I105" i="29"/>
  <c r="I86" i="29"/>
  <c r="I84" i="29"/>
  <c r="I88" i="29"/>
  <c r="I140" i="29"/>
  <c r="I87" i="29"/>
  <c r="I77" i="29"/>
  <c r="I85" i="29"/>
  <c r="I61" i="28"/>
  <c r="I73" i="28" s="1"/>
  <c r="I140" i="28"/>
  <c r="I89" i="28"/>
  <c r="I87" i="28"/>
  <c r="I105" i="28"/>
  <c r="I86" i="28"/>
  <c r="I84" i="28"/>
  <c r="I88" i="28"/>
  <c r="H90" i="28"/>
  <c r="I85" i="28"/>
  <c r="I61" i="27"/>
  <c r="I73" i="27" s="1"/>
  <c r="I87" i="27"/>
  <c r="I85" i="27"/>
  <c r="H90" i="27"/>
  <c r="I140" i="27"/>
  <c r="I84" i="27"/>
  <c r="I89" i="27"/>
  <c r="I88" i="27"/>
  <c r="I86" i="27"/>
  <c r="I73" i="26"/>
  <c r="I86" i="26"/>
  <c r="I105" i="26"/>
  <c r="I106" i="26" s="1"/>
  <c r="I111" i="26" s="1"/>
  <c r="I87" i="26"/>
  <c r="I85" i="26"/>
  <c r="H90" i="26"/>
  <c r="I140" i="26"/>
  <c r="I89" i="26"/>
  <c r="I88" i="26"/>
  <c r="I84" i="26"/>
  <c r="I61" i="25"/>
  <c r="I73" i="25" s="1"/>
  <c r="I89" i="25"/>
  <c r="I85" i="25"/>
  <c r="H90" i="25"/>
  <c r="I140" i="25"/>
  <c r="I84" i="25"/>
  <c r="I86" i="25"/>
  <c r="I105" i="25"/>
  <c r="I87" i="25"/>
  <c r="I88" i="25"/>
  <c r="I61" i="24"/>
  <c r="I73" i="24" s="1"/>
  <c r="I140" i="24"/>
  <c r="I89" i="24"/>
  <c r="I87" i="24"/>
  <c r="I105" i="24"/>
  <c r="I106" i="24" s="1"/>
  <c r="I111" i="24" s="1"/>
  <c r="I84" i="24"/>
  <c r="I88" i="24"/>
  <c r="I85" i="24"/>
  <c r="I89" i="23"/>
  <c r="I87" i="23"/>
  <c r="I105" i="23"/>
  <c r="I84" i="23"/>
  <c r="I140" i="23"/>
  <c r="I88" i="23"/>
  <c r="I61" i="23"/>
  <c r="I73" i="23" s="1"/>
  <c r="I85" i="23"/>
  <c r="I61" i="22"/>
  <c r="I73" i="22" s="1"/>
  <c r="I105" i="22"/>
  <c r="H90" i="22"/>
  <c r="I140" i="22"/>
  <c r="I61" i="21"/>
  <c r="I73" i="21" s="1"/>
  <c r="I88" i="21"/>
  <c r="I84" i="21"/>
  <c r="I86" i="21"/>
  <c r="I105" i="21"/>
  <c r="I87" i="21"/>
  <c r="I89" i="21"/>
  <c r="I85" i="21"/>
  <c r="B146" i="20"/>
  <c r="B144" i="20"/>
  <c r="B143" i="20"/>
  <c r="B142" i="20"/>
  <c r="B141" i="20"/>
  <c r="B140" i="20"/>
  <c r="H136" i="20"/>
  <c r="H106" i="20"/>
  <c r="H101" i="20"/>
  <c r="B146" i="19"/>
  <c r="B144" i="19"/>
  <c r="B143" i="19"/>
  <c r="B142" i="19"/>
  <c r="B141" i="19"/>
  <c r="B140" i="19"/>
  <c r="H136" i="19"/>
  <c r="H106" i="19"/>
  <c r="H101" i="19"/>
  <c r="B146" i="18"/>
  <c r="B144" i="18"/>
  <c r="B143" i="18"/>
  <c r="B142" i="18"/>
  <c r="B141" i="18"/>
  <c r="B140" i="18"/>
  <c r="H136" i="18"/>
  <c r="H106" i="18"/>
  <c r="H101" i="18"/>
  <c r="A163" i="17"/>
  <c r="C163" i="17" s="1"/>
  <c r="B166" i="17" s="1"/>
  <c r="I160" i="17"/>
  <c r="F166" i="17" s="1"/>
  <c r="D160" i="17"/>
  <c r="A166" i="17" s="1"/>
  <c r="B146" i="17"/>
  <c r="B144" i="17"/>
  <c r="B143" i="17"/>
  <c r="B142" i="17"/>
  <c r="B141" i="17"/>
  <c r="B140" i="17"/>
  <c r="H136" i="17"/>
  <c r="H106" i="17"/>
  <c r="H62" i="17"/>
  <c r="H61" i="17"/>
  <c r="H57" i="17"/>
  <c r="H45" i="17"/>
  <c r="I33" i="17"/>
  <c r="I38" i="17" s="1"/>
  <c r="I54" i="3" l="1"/>
  <c r="I50" i="3"/>
  <c r="I77" i="3"/>
  <c r="I53" i="3"/>
  <c r="I55" i="3"/>
  <c r="I52" i="3"/>
  <c r="I51" i="3"/>
  <c r="H99" i="17"/>
  <c r="H101" i="17" s="1"/>
  <c r="H88" i="17"/>
  <c r="I77" i="4"/>
  <c r="I53" i="4"/>
  <c r="I54" i="4"/>
  <c r="I49" i="4"/>
  <c r="I50" i="4"/>
  <c r="I55" i="4"/>
  <c r="I52" i="4"/>
  <c r="I56" i="4"/>
  <c r="I51" i="4"/>
  <c r="I106" i="21"/>
  <c r="I111" i="21" s="1"/>
  <c r="I106" i="22"/>
  <c r="I111" i="22" s="1"/>
  <c r="I106" i="23"/>
  <c r="I111" i="23" s="1"/>
  <c r="I106" i="25"/>
  <c r="I111" i="25" s="1"/>
  <c r="I90" i="27"/>
  <c r="I142" i="27" s="1"/>
  <c r="I106" i="29"/>
  <c r="I111" i="29" s="1"/>
  <c r="I106" i="31"/>
  <c r="I111" i="31" s="1"/>
  <c r="I90" i="32"/>
  <c r="I142" i="32" s="1"/>
  <c r="I106" i="32"/>
  <c r="I111" i="32" s="1"/>
  <c r="I90" i="33"/>
  <c r="I142" i="33" s="1"/>
  <c r="I106" i="34"/>
  <c r="I111" i="34" s="1"/>
  <c r="I106" i="35"/>
  <c r="I111" i="35" s="1"/>
  <c r="I106" i="37"/>
  <c r="I111" i="37" s="1"/>
  <c r="I106" i="38"/>
  <c r="I111" i="38" s="1"/>
  <c r="I106" i="39"/>
  <c r="I111" i="39" s="1"/>
  <c r="I106" i="40"/>
  <c r="I111" i="40" s="1"/>
  <c r="I90" i="40"/>
  <c r="I142" i="40" s="1"/>
  <c r="I90" i="41"/>
  <c r="I142" i="41" s="1"/>
  <c r="I106" i="41"/>
  <c r="I111" i="41" s="1"/>
  <c r="I106" i="42"/>
  <c r="I111" i="42" s="1"/>
  <c r="I106" i="28"/>
  <c r="I111" i="28" s="1"/>
  <c r="I90" i="28"/>
  <c r="I142" i="28" s="1"/>
  <c r="I106" i="43"/>
  <c r="I111" i="43" s="1"/>
  <c r="I90" i="43"/>
  <c r="I142" i="43" s="1"/>
  <c r="I90" i="42"/>
  <c r="I142" i="42" s="1"/>
  <c r="I90" i="39"/>
  <c r="I142" i="39" s="1"/>
  <c r="I90" i="38"/>
  <c r="I142" i="38" s="1"/>
  <c r="I90" i="37"/>
  <c r="I142" i="37" s="1"/>
  <c r="I90" i="36"/>
  <c r="I142" i="36" s="1"/>
  <c r="I90" i="35"/>
  <c r="I142" i="35" s="1"/>
  <c r="I90" i="34"/>
  <c r="I142" i="34" s="1"/>
  <c r="I90" i="31"/>
  <c r="I142" i="31" s="1"/>
  <c r="I90" i="29"/>
  <c r="I142" i="29" s="1"/>
  <c r="I90" i="26"/>
  <c r="I142" i="26" s="1"/>
  <c r="I90" i="25"/>
  <c r="I142" i="25" s="1"/>
  <c r="I90" i="22"/>
  <c r="I142" i="22" s="1"/>
  <c r="I90" i="21"/>
  <c r="I142" i="21" s="1"/>
  <c r="I86" i="24"/>
  <c r="I86" i="23"/>
  <c r="I79" i="32"/>
  <c r="I79" i="43"/>
  <c r="I77" i="32"/>
  <c r="I78" i="29"/>
  <c r="I78" i="32"/>
  <c r="I77" i="24"/>
  <c r="I77" i="22"/>
  <c r="I77" i="25"/>
  <c r="H90" i="20"/>
  <c r="I79" i="21"/>
  <c r="I77" i="21"/>
  <c r="I77" i="23"/>
  <c r="I79" i="28"/>
  <c r="I79" i="29"/>
  <c r="I79" i="31"/>
  <c r="I79" i="34"/>
  <c r="I79" i="35"/>
  <c r="I77" i="39"/>
  <c r="I79" i="39"/>
  <c r="I77" i="40"/>
  <c r="H90" i="18"/>
  <c r="F163" i="17"/>
  <c r="H163" i="17" s="1"/>
  <c r="G166" i="17" s="1"/>
  <c r="H166" i="17" s="1"/>
  <c r="I62" i="17" s="1"/>
  <c r="H90" i="17"/>
  <c r="I77" i="43"/>
  <c r="I77" i="42"/>
  <c r="I79" i="42"/>
  <c r="I79" i="41"/>
  <c r="I77" i="41"/>
  <c r="I79" i="38"/>
  <c r="I77" i="38"/>
  <c r="I78" i="37"/>
  <c r="I78" i="43"/>
  <c r="I78" i="42"/>
  <c r="I78" i="41"/>
  <c r="I79" i="40"/>
  <c r="I78" i="40"/>
  <c r="I78" i="39"/>
  <c r="I78" i="38"/>
  <c r="I77" i="37"/>
  <c r="I79" i="37"/>
  <c r="I78" i="36"/>
  <c r="I77" i="36"/>
  <c r="I79" i="36"/>
  <c r="I78" i="35"/>
  <c r="I78" i="34"/>
  <c r="I77" i="34"/>
  <c r="I77" i="33"/>
  <c r="I79" i="33"/>
  <c r="I78" i="33"/>
  <c r="I77" i="31"/>
  <c r="I78" i="31"/>
  <c r="I77" i="28"/>
  <c r="I78" i="28"/>
  <c r="I77" i="27"/>
  <c r="I79" i="27"/>
  <c r="I78" i="27"/>
  <c r="I79" i="26"/>
  <c r="I78" i="26"/>
  <c r="I77" i="26"/>
  <c r="I79" i="25"/>
  <c r="I78" i="25"/>
  <c r="I78" i="24"/>
  <c r="I79" i="24"/>
  <c r="I78" i="23"/>
  <c r="I79" i="23"/>
  <c r="I78" i="22"/>
  <c r="I79" i="22"/>
  <c r="I78" i="21"/>
  <c r="I61" i="20"/>
  <c r="I73" i="20" s="1"/>
  <c r="I86" i="20"/>
  <c r="I140" i="20"/>
  <c r="I89" i="20"/>
  <c r="I87" i="20"/>
  <c r="I105" i="20"/>
  <c r="I84" i="20"/>
  <c r="I88" i="20"/>
  <c r="I85" i="20"/>
  <c r="I61" i="19"/>
  <c r="I73" i="19" s="1"/>
  <c r="I105" i="19"/>
  <c r="I86" i="19"/>
  <c r="I84" i="19"/>
  <c r="I88" i="19"/>
  <c r="I87" i="19"/>
  <c r="I140" i="19"/>
  <c r="I89" i="19"/>
  <c r="I85" i="19"/>
  <c r="H90" i="19"/>
  <c r="I140" i="18"/>
  <c r="I89" i="18"/>
  <c r="I87" i="18"/>
  <c r="I105" i="18"/>
  <c r="I86" i="18"/>
  <c r="I84" i="18"/>
  <c r="I88" i="18"/>
  <c r="I85" i="18"/>
  <c r="I89" i="17"/>
  <c r="I87" i="17"/>
  <c r="I43" i="17"/>
  <c r="I105" i="17"/>
  <c r="I86" i="17"/>
  <c r="I84" i="17"/>
  <c r="I85" i="17"/>
  <c r="I44" i="17"/>
  <c r="I88" i="17"/>
  <c r="I140" i="17"/>
  <c r="C166" i="17"/>
  <c r="I61" i="17" s="1"/>
  <c r="I57" i="3" l="1"/>
  <c r="I78" i="3" s="1"/>
  <c r="I80" i="3" s="1"/>
  <c r="I141" i="3" s="1"/>
  <c r="I80" i="24"/>
  <c r="I141" i="24" s="1"/>
  <c r="I80" i="27"/>
  <c r="I96" i="27" s="1"/>
  <c r="I80" i="40"/>
  <c r="I100" i="40" s="1"/>
  <c r="I45" i="17"/>
  <c r="I49" i="17" s="1"/>
  <c r="I57" i="4"/>
  <c r="I78" i="4" s="1"/>
  <c r="I80" i="4" s="1"/>
  <c r="I141" i="4" s="1"/>
  <c r="I80" i="35"/>
  <c r="I100" i="35" s="1"/>
  <c r="I80" i="34"/>
  <c r="I100" i="34" s="1"/>
  <c r="I80" i="23"/>
  <c r="I141" i="23" s="1"/>
  <c r="I80" i="21"/>
  <c r="I100" i="21" s="1"/>
  <c r="I73" i="17"/>
  <c r="I79" i="17" s="1"/>
  <c r="I106" i="17"/>
  <c r="I111" i="17" s="1"/>
  <c r="I106" i="18"/>
  <c r="I111" i="18" s="1"/>
  <c r="I106" i="19"/>
  <c r="I111" i="19" s="1"/>
  <c r="I106" i="20"/>
  <c r="I111" i="20" s="1"/>
  <c r="I80" i="22"/>
  <c r="I80" i="25"/>
  <c r="I141" i="25" s="1"/>
  <c r="I80" i="26"/>
  <c r="I141" i="26" s="1"/>
  <c r="I80" i="28"/>
  <c r="I98" i="28" s="1"/>
  <c r="I80" i="29"/>
  <c r="I141" i="29" s="1"/>
  <c r="I80" i="31"/>
  <c r="I141" i="31" s="1"/>
  <c r="I80" i="32"/>
  <c r="I80" i="33"/>
  <c r="I98" i="33" s="1"/>
  <c r="I80" i="36"/>
  <c r="I80" i="38"/>
  <c r="I96" i="38" s="1"/>
  <c r="I80" i="37"/>
  <c r="I141" i="37" s="1"/>
  <c r="I80" i="39"/>
  <c r="I141" i="39" s="1"/>
  <c r="I80" i="41"/>
  <c r="I141" i="41" s="1"/>
  <c r="I80" i="42"/>
  <c r="I141" i="42" s="1"/>
  <c r="I80" i="43"/>
  <c r="I99" i="43" s="1"/>
  <c r="I90" i="24"/>
  <c r="I142" i="24" s="1"/>
  <c r="I90" i="23"/>
  <c r="I142" i="23" s="1"/>
  <c r="I90" i="20"/>
  <c r="I142" i="20" s="1"/>
  <c r="I90" i="19"/>
  <c r="I142" i="19" s="1"/>
  <c r="I90" i="18"/>
  <c r="I142" i="18" s="1"/>
  <c r="I90" i="17"/>
  <c r="I142" i="17" s="1"/>
  <c r="I77" i="19"/>
  <c r="I77" i="20"/>
  <c r="I79" i="20"/>
  <c r="I78" i="20"/>
  <c r="I78" i="19"/>
  <c r="I79" i="19"/>
  <c r="I78" i="18"/>
  <c r="I77" i="18"/>
  <c r="I79" i="18"/>
  <c r="I95" i="27" l="1"/>
  <c r="I97" i="3"/>
  <c r="I96" i="3"/>
  <c r="I98" i="3"/>
  <c r="I100" i="3"/>
  <c r="I95" i="3"/>
  <c r="I99" i="3"/>
  <c r="I98" i="40"/>
  <c r="I99" i="40"/>
  <c r="I95" i="40"/>
  <c r="I99" i="28"/>
  <c r="I141" i="28"/>
  <c r="I141" i="27"/>
  <c r="I100" i="27"/>
  <c r="I99" i="27"/>
  <c r="I97" i="27"/>
  <c r="I98" i="27"/>
  <c r="I95" i="34"/>
  <c r="I56" i="17"/>
  <c r="I55" i="17"/>
  <c r="I77" i="17"/>
  <c r="I51" i="17"/>
  <c r="I96" i="28"/>
  <c r="I54" i="17"/>
  <c r="I50" i="17"/>
  <c r="I141" i="40"/>
  <c r="I96" i="40"/>
  <c r="I97" i="40"/>
  <c r="I97" i="38"/>
  <c r="I100" i="38"/>
  <c r="I95" i="38"/>
  <c r="I141" i="38"/>
  <c r="I97" i="33"/>
  <c r="I96" i="33"/>
  <c r="I99" i="33"/>
  <c r="I141" i="33"/>
  <c r="I100" i="33"/>
  <c r="I95" i="33"/>
  <c r="I97" i="28"/>
  <c r="I141" i="21"/>
  <c r="I98" i="21"/>
  <c r="I99" i="21"/>
  <c r="I97" i="21"/>
  <c r="I96" i="21"/>
  <c r="I95" i="21"/>
  <c r="I53" i="17"/>
  <c r="I52" i="17"/>
  <c r="I98" i="38"/>
  <c r="I99" i="38"/>
  <c r="I95" i="35"/>
  <c r="I99" i="35"/>
  <c r="I97" i="35"/>
  <c r="I96" i="35"/>
  <c r="I97" i="34"/>
  <c r="I99" i="34"/>
  <c r="I141" i="34"/>
  <c r="I96" i="34"/>
  <c r="I98" i="24"/>
  <c r="I100" i="24"/>
  <c r="I100" i="4"/>
  <c r="I98" i="4"/>
  <c r="I99" i="4"/>
  <c r="I95" i="4"/>
  <c r="I96" i="4"/>
  <c r="I97" i="4"/>
  <c r="I98" i="35"/>
  <c r="I141" i="35"/>
  <c r="I98" i="34"/>
  <c r="I100" i="28"/>
  <c r="I95" i="28"/>
  <c r="I80" i="19"/>
  <c r="I98" i="19" s="1"/>
  <c r="I80" i="18"/>
  <c r="I141" i="18" s="1"/>
  <c r="I80" i="20"/>
  <c r="I141" i="20" s="1"/>
  <c r="I100" i="22"/>
  <c r="I98" i="22"/>
  <c r="I97" i="22"/>
  <c r="I99" i="22"/>
  <c r="I95" i="22"/>
  <c r="I96" i="22"/>
  <c r="I141" i="22"/>
  <c r="I96" i="23"/>
  <c r="I100" i="23"/>
  <c r="I99" i="23"/>
  <c r="I98" i="23"/>
  <c r="I97" i="23"/>
  <c r="I95" i="23"/>
  <c r="I95" i="24"/>
  <c r="I97" i="24"/>
  <c r="I96" i="24"/>
  <c r="I99" i="24"/>
  <c r="I100" i="25"/>
  <c r="I98" i="25"/>
  <c r="I96" i="25"/>
  <c r="I99" i="25"/>
  <c r="I97" i="25"/>
  <c r="I95" i="25"/>
  <c r="I100" i="26"/>
  <c r="I98" i="26"/>
  <c r="I96" i="26"/>
  <c r="I97" i="26"/>
  <c r="I99" i="26"/>
  <c r="I95" i="26"/>
  <c r="I97" i="29"/>
  <c r="I95" i="29"/>
  <c r="I100" i="29"/>
  <c r="I98" i="29"/>
  <c r="I96" i="29"/>
  <c r="I99" i="29"/>
  <c r="I100" i="31"/>
  <c r="I98" i="31"/>
  <c r="I96" i="31"/>
  <c r="I97" i="31"/>
  <c r="I99" i="31"/>
  <c r="I95" i="31"/>
  <c r="I95" i="32"/>
  <c r="I96" i="32"/>
  <c r="I100" i="32"/>
  <c r="I98" i="32"/>
  <c r="I97" i="32"/>
  <c r="I99" i="32"/>
  <c r="I141" i="32"/>
  <c r="I95" i="36"/>
  <c r="I96" i="36"/>
  <c r="I99" i="36"/>
  <c r="I100" i="36"/>
  <c r="I98" i="36"/>
  <c r="I97" i="36"/>
  <c r="I141" i="36"/>
  <c r="I98" i="37"/>
  <c r="I99" i="37"/>
  <c r="I97" i="37"/>
  <c r="I95" i="37"/>
  <c r="I96" i="37"/>
  <c r="I100" i="37"/>
  <c r="I100" i="39"/>
  <c r="I98" i="39"/>
  <c r="I96" i="39"/>
  <c r="I97" i="39"/>
  <c r="I95" i="39"/>
  <c r="I99" i="39"/>
  <c r="I98" i="41"/>
  <c r="I96" i="41"/>
  <c r="I100" i="41"/>
  <c r="I97" i="41"/>
  <c r="I95" i="41"/>
  <c r="I99" i="41"/>
  <c r="I97" i="42"/>
  <c r="I95" i="42"/>
  <c r="I100" i="42"/>
  <c r="I98" i="42"/>
  <c r="I99" i="42"/>
  <c r="I96" i="42"/>
  <c r="I141" i="43"/>
  <c r="I97" i="43"/>
  <c r="I96" i="43"/>
  <c r="I95" i="43"/>
  <c r="I98" i="43"/>
  <c r="I100" i="43"/>
  <c r="I101" i="3" l="1"/>
  <c r="I110" i="3" s="1"/>
  <c r="I112" i="3" s="1"/>
  <c r="I143" i="3" s="1"/>
  <c r="I101" i="40"/>
  <c r="I110" i="40" s="1"/>
  <c r="I112" i="40" s="1"/>
  <c r="I143" i="40" s="1"/>
  <c r="I101" i="38"/>
  <c r="I110" i="38" s="1"/>
  <c r="I112" i="38" s="1"/>
  <c r="I143" i="38" s="1"/>
  <c r="I101" i="27"/>
  <c r="I110" i="27" s="1"/>
  <c r="I112" i="27" s="1"/>
  <c r="I143" i="27" s="1"/>
  <c r="I101" i="33"/>
  <c r="I110" i="33" s="1"/>
  <c r="I112" i="33" s="1"/>
  <c r="I143" i="33" s="1"/>
  <c r="I141" i="19"/>
  <c r="I96" i="19"/>
  <c r="I57" i="17"/>
  <c r="I78" i="17" s="1"/>
  <c r="I80" i="17" s="1"/>
  <c r="I100" i="17" s="1"/>
  <c r="I101" i="35"/>
  <c r="I110" i="35" s="1"/>
  <c r="I112" i="35" s="1"/>
  <c r="I143" i="35" s="1"/>
  <c r="I101" i="21"/>
  <c r="I110" i="21" s="1"/>
  <c r="I112" i="21" s="1"/>
  <c r="I143" i="21" s="1"/>
  <c r="I101" i="34"/>
  <c r="I110" i="34" s="1"/>
  <c r="I112" i="34" s="1"/>
  <c r="I143" i="34" s="1"/>
  <c r="I101" i="31"/>
  <c r="I110" i="31" s="1"/>
  <c r="I112" i="31" s="1"/>
  <c r="I143" i="31" s="1"/>
  <c r="I101" i="28"/>
  <c r="I110" i="28" s="1"/>
  <c r="I112" i="28" s="1"/>
  <c r="I143" i="28" s="1"/>
  <c r="I97" i="19"/>
  <c r="I100" i="19"/>
  <c r="I99" i="19"/>
  <c r="I101" i="25"/>
  <c r="I110" i="25" s="1"/>
  <c r="I112" i="25" s="1"/>
  <c r="I143" i="25" s="1"/>
  <c r="I95" i="19"/>
  <c r="I101" i="4"/>
  <c r="I110" i="4" s="1"/>
  <c r="I112" i="4" s="1"/>
  <c r="I143" i="4" s="1"/>
  <c r="I101" i="36"/>
  <c r="I110" i="36" s="1"/>
  <c r="I112" i="36" s="1"/>
  <c r="I143" i="36" s="1"/>
  <c r="I101" i="29"/>
  <c r="I110" i="29" s="1"/>
  <c r="I112" i="29" s="1"/>
  <c r="I143" i="29" s="1"/>
  <c r="I101" i="26"/>
  <c r="I110" i="26" s="1"/>
  <c r="I112" i="26" s="1"/>
  <c r="I143" i="26" s="1"/>
  <c r="I101" i="23"/>
  <c r="I110" i="23" s="1"/>
  <c r="I112" i="23" s="1"/>
  <c r="I143" i="23" s="1"/>
  <c r="I95" i="18"/>
  <c r="I100" i="18"/>
  <c r="I98" i="18"/>
  <c r="I96" i="18"/>
  <c r="I97" i="18"/>
  <c r="I99" i="18"/>
  <c r="I97" i="20"/>
  <c r="I99" i="20"/>
  <c r="I98" i="20"/>
  <c r="I95" i="20"/>
  <c r="I100" i="20"/>
  <c r="I96" i="20"/>
  <c r="I101" i="22"/>
  <c r="I110" i="22" s="1"/>
  <c r="I112" i="22" s="1"/>
  <c r="I143" i="22" s="1"/>
  <c r="I101" i="24"/>
  <c r="I110" i="24" s="1"/>
  <c r="I112" i="24" s="1"/>
  <c r="I143" i="24" s="1"/>
  <c r="I101" i="32"/>
  <c r="I110" i="32" s="1"/>
  <c r="I112" i="32" s="1"/>
  <c r="I143" i="32" s="1"/>
  <c r="I101" i="41"/>
  <c r="I110" i="41" s="1"/>
  <c r="I112" i="41" s="1"/>
  <c r="I143" i="41" s="1"/>
  <c r="I101" i="37"/>
  <c r="I110" i="37" s="1"/>
  <c r="I112" i="37" s="1"/>
  <c r="I143" i="37" s="1"/>
  <c r="I101" i="39"/>
  <c r="I110" i="39" s="1"/>
  <c r="I112" i="39" s="1"/>
  <c r="I143" i="39" s="1"/>
  <c r="I101" i="42"/>
  <c r="I110" i="42" s="1"/>
  <c r="I112" i="42" s="1"/>
  <c r="I143" i="42" s="1"/>
  <c r="I101" i="43"/>
  <c r="I110" i="43" s="1"/>
  <c r="I112" i="43" s="1"/>
  <c r="I143" i="43" s="1"/>
  <c r="A163" i="10"/>
  <c r="C163" i="10" s="1"/>
  <c r="B166" i="10" s="1"/>
  <c r="I160" i="10"/>
  <c r="F166" i="10" s="1"/>
  <c r="D160" i="10"/>
  <c r="A166" i="10" s="1"/>
  <c r="B146" i="10"/>
  <c r="B144" i="10"/>
  <c r="B143" i="10"/>
  <c r="B142" i="10"/>
  <c r="B141" i="10"/>
  <c r="B140" i="10"/>
  <c r="H136" i="10"/>
  <c r="H106" i="10"/>
  <c r="H62" i="10"/>
  <c r="H61" i="10"/>
  <c r="H57" i="10"/>
  <c r="H45" i="10"/>
  <c r="I33" i="10"/>
  <c r="I38" i="10" s="1"/>
  <c r="A163" i="9"/>
  <c r="C163" i="9" s="1"/>
  <c r="B166" i="9" s="1"/>
  <c r="I160" i="9"/>
  <c r="F166" i="9" s="1"/>
  <c r="D160" i="9"/>
  <c r="A166" i="9" s="1"/>
  <c r="B146" i="9"/>
  <c r="B144" i="9"/>
  <c r="B143" i="9"/>
  <c r="B142" i="9"/>
  <c r="B141" i="9"/>
  <c r="B140" i="9"/>
  <c r="H136" i="9"/>
  <c r="H106" i="9"/>
  <c r="H62" i="9"/>
  <c r="H61" i="9"/>
  <c r="H57" i="9"/>
  <c r="H45" i="9"/>
  <c r="A163" i="16"/>
  <c r="C163" i="16" s="1"/>
  <c r="B166" i="16" s="1"/>
  <c r="I160" i="16"/>
  <c r="F166" i="16" s="1"/>
  <c r="D160" i="16"/>
  <c r="A166" i="16" s="1"/>
  <c r="B146" i="16"/>
  <c r="B144" i="16"/>
  <c r="B143" i="16"/>
  <c r="B142" i="16"/>
  <c r="B141" i="16"/>
  <c r="B140" i="16"/>
  <c r="H136" i="16"/>
  <c r="H106" i="16"/>
  <c r="H62" i="16"/>
  <c r="H61" i="16"/>
  <c r="H57" i="16"/>
  <c r="H45" i="16"/>
  <c r="I33" i="16"/>
  <c r="I38" i="16" s="1"/>
  <c r="I101" i="19" l="1"/>
  <c r="I110" i="19" s="1"/>
  <c r="I112" i="19" s="1"/>
  <c r="I143" i="19" s="1"/>
  <c r="I98" i="17"/>
  <c r="I141" i="17"/>
  <c r="I97" i="17"/>
  <c r="I95" i="17"/>
  <c r="I96" i="17"/>
  <c r="I99" i="17"/>
  <c r="H99" i="10"/>
  <c r="H101" i="10" s="1"/>
  <c r="H88" i="10"/>
  <c r="H90" i="10" s="1"/>
  <c r="H99" i="16"/>
  <c r="H101" i="16" s="1"/>
  <c r="H88" i="16"/>
  <c r="I88" i="16" s="1"/>
  <c r="H99" i="9"/>
  <c r="H101" i="9" s="1"/>
  <c r="H88" i="9"/>
  <c r="I88" i="9" s="1"/>
  <c r="I101" i="18"/>
  <c r="I110" i="18" s="1"/>
  <c r="I112" i="18" s="1"/>
  <c r="I143" i="18" s="1"/>
  <c r="I101" i="20"/>
  <c r="I110" i="20" s="1"/>
  <c r="I112" i="20" s="1"/>
  <c r="I143" i="20" s="1"/>
  <c r="C166" i="16"/>
  <c r="I61" i="16" s="1"/>
  <c r="C166" i="10"/>
  <c r="I61" i="10" s="1"/>
  <c r="I44" i="10"/>
  <c r="I85" i="10"/>
  <c r="I140" i="10"/>
  <c r="F163" i="10"/>
  <c r="H163" i="10" s="1"/>
  <c r="G166" i="10" s="1"/>
  <c r="H166" i="10" s="1"/>
  <c r="I62" i="10" s="1"/>
  <c r="I86" i="10"/>
  <c r="I105" i="10"/>
  <c r="I106" i="10" s="1"/>
  <c r="I111" i="10" s="1"/>
  <c r="I88" i="10"/>
  <c r="I84" i="10"/>
  <c r="I43" i="10"/>
  <c r="I87" i="10"/>
  <c r="I89" i="10"/>
  <c r="C166" i="9"/>
  <c r="I61" i="9" s="1"/>
  <c r="I43" i="9"/>
  <c r="I105" i="9"/>
  <c r="I106" i="9" s="1"/>
  <c r="I111" i="9" s="1"/>
  <c r="I140" i="9"/>
  <c r="I44" i="9"/>
  <c r="F163" i="9"/>
  <c r="H163" i="9" s="1"/>
  <c r="G166" i="9" s="1"/>
  <c r="H166" i="9" s="1"/>
  <c r="I62" i="9" s="1"/>
  <c r="I105" i="16"/>
  <c r="I86" i="16"/>
  <c r="I84" i="16"/>
  <c r="I140" i="16"/>
  <c r="I44" i="16"/>
  <c r="I89" i="16"/>
  <c r="I87" i="16"/>
  <c r="I43" i="16"/>
  <c r="I85" i="16"/>
  <c r="F163" i="16"/>
  <c r="H163" i="16" s="1"/>
  <c r="G166" i="16" s="1"/>
  <c r="H166" i="16" s="1"/>
  <c r="I62" i="16" s="1"/>
  <c r="A163" i="11"/>
  <c r="C163" i="11" s="1"/>
  <c r="B166" i="11" s="1"/>
  <c r="I160" i="11"/>
  <c r="F163" i="11" s="1"/>
  <c r="H163" i="11" s="1"/>
  <c r="G166" i="11" s="1"/>
  <c r="D160" i="11"/>
  <c r="A166" i="11" s="1"/>
  <c r="B146" i="11"/>
  <c r="B144" i="11"/>
  <c r="B143" i="11"/>
  <c r="B142" i="11"/>
  <c r="B141" i="11"/>
  <c r="B140" i="11"/>
  <c r="H136" i="11"/>
  <c r="H106" i="11"/>
  <c r="H62" i="11"/>
  <c r="H61" i="11"/>
  <c r="H57" i="11"/>
  <c r="H45" i="11"/>
  <c r="I33" i="11"/>
  <c r="I38" i="11" s="1"/>
  <c r="H90" i="9" l="1"/>
  <c r="I101" i="17"/>
  <c r="I110" i="17" s="1"/>
  <c r="I112" i="17" s="1"/>
  <c r="I143" i="17" s="1"/>
  <c r="H90" i="16"/>
  <c r="I73" i="10"/>
  <c r="I79" i="10" s="1"/>
  <c r="I73" i="16"/>
  <c r="I79" i="16" s="1"/>
  <c r="I73" i="9"/>
  <c r="I79" i="9" s="1"/>
  <c r="H99" i="11"/>
  <c r="H101" i="11" s="1"/>
  <c r="H88" i="11"/>
  <c r="I88" i="11" s="1"/>
  <c r="I45" i="10"/>
  <c r="I77" i="10" s="1"/>
  <c r="I90" i="9"/>
  <c r="I142" i="9" s="1"/>
  <c r="I45" i="9"/>
  <c r="I77" i="9" s="1"/>
  <c r="I45" i="16"/>
  <c r="I77" i="16" s="1"/>
  <c r="I106" i="16"/>
  <c r="I111" i="16" s="1"/>
  <c r="I90" i="16"/>
  <c r="I142" i="16" s="1"/>
  <c r="I90" i="10"/>
  <c r="I142" i="10" s="1"/>
  <c r="I140" i="11"/>
  <c r="I44" i="11"/>
  <c r="I89" i="11"/>
  <c r="I87" i="11"/>
  <c r="I43" i="11"/>
  <c r="I105" i="11"/>
  <c r="I86" i="11"/>
  <c r="I84" i="11"/>
  <c r="C166" i="11"/>
  <c r="I61" i="11" s="1"/>
  <c r="F166" i="11"/>
  <c r="H166" i="11" s="1"/>
  <c r="I62" i="11" s="1"/>
  <c r="I85" i="11"/>
  <c r="I73" i="11" l="1"/>
  <c r="I79" i="11" s="1"/>
  <c r="H90" i="11"/>
  <c r="I45" i="11"/>
  <c r="I55" i="11" s="1"/>
  <c r="I106" i="11"/>
  <c r="I111" i="11" s="1"/>
  <c r="I54" i="10"/>
  <c r="I56" i="10"/>
  <c r="I55" i="10"/>
  <c r="I49" i="10"/>
  <c r="I50" i="10"/>
  <c r="I52" i="10"/>
  <c r="I53" i="10"/>
  <c r="I51" i="10"/>
  <c r="I53" i="9"/>
  <c r="I52" i="9"/>
  <c r="I49" i="9"/>
  <c r="I55" i="9"/>
  <c r="I51" i="9"/>
  <c r="I54" i="9"/>
  <c r="I50" i="9"/>
  <c r="I56" i="9"/>
  <c r="I56" i="16"/>
  <c r="I51" i="16"/>
  <c r="I53" i="16"/>
  <c r="I49" i="16"/>
  <c r="I52" i="16"/>
  <c r="I54" i="16"/>
  <c r="I50" i="16"/>
  <c r="I55" i="16"/>
  <c r="I90" i="11"/>
  <c r="I142" i="11" s="1"/>
  <c r="I51" i="11" l="1"/>
  <c r="I77" i="11"/>
  <c r="I49" i="11"/>
  <c r="I52" i="11"/>
  <c r="I50" i="11"/>
  <c r="I53" i="11"/>
  <c r="I56" i="11"/>
  <c r="I54" i="11"/>
  <c r="I57" i="10"/>
  <c r="I78" i="10" s="1"/>
  <c r="I80" i="10" s="1"/>
  <c r="I57" i="9"/>
  <c r="I78" i="9" s="1"/>
  <c r="I80" i="9" s="1"/>
  <c r="I57" i="16"/>
  <c r="I78" i="16" s="1"/>
  <c r="I80" i="16" s="1"/>
  <c r="I141" i="9" l="1"/>
  <c r="I100" i="9"/>
  <c r="I98" i="9"/>
  <c r="I99" i="9"/>
  <c r="I96" i="9"/>
  <c r="I97" i="9"/>
  <c r="I95" i="9"/>
  <c r="I57" i="11"/>
  <c r="I78" i="11" s="1"/>
  <c r="I80" i="11" s="1"/>
  <c r="I141" i="11" s="1"/>
  <c r="I100" i="10"/>
  <c r="I98" i="10"/>
  <c r="I95" i="10"/>
  <c r="I96" i="10"/>
  <c r="I97" i="10"/>
  <c r="I99" i="10"/>
  <c r="I141" i="10"/>
  <c r="I98" i="16"/>
  <c r="I100" i="16"/>
  <c r="I99" i="16"/>
  <c r="I96" i="16"/>
  <c r="I97" i="16"/>
  <c r="I95" i="16"/>
  <c r="I141" i="16"/>
  <c r="I101" i="9" l="1"/>
  <c r="I110" i="9" s="1"/>
  <c r="I112" i="9" s="1"/>
  <c r="I143" i="9" s="1"/>
  <c r="I100" i="11"/>
  <c r="I96" i="11"/>
  <c r="I95" i="11"/>
  <c r="I98" i="11"/>
  <c r="I97" i="11"/>
  <c r="I99" i="11"/>
  <c r="I101" i="10"/>
  <c r="I110" i="10" s="1"/>
  <c r="I112" i="10" s="1"/>
  <c r="I143" i="10" s="1"/>
  <c r="I101" i="16"/>
  <c r="I110" i="16" s="1"/>
  <c r="I112" i="16" s="1"/>
  <c r="I143" i="16" s="1"/>
  <c r="I101" i="11" l="1"/>
  <c r="I110" i="11" s="1"/>
  <c r="I112" i="11" s="1"/>
  <c r="I143" i="11" s="1"/>
  <c r="F7" i="46" l="1"/>
  <c r="G7" i="46" s="1"/>
  <c r="F8" i="46"/>
  <c r="G8" i="46" s="1"/>
  <c r="F9" i="46"/>
  <c r="G9" i="46" s="1"/>
  <c r="F6" i="46" l="1"/>
  <c r="G6" i="46" l="1"/>
  <c r="G10" i="46" s="1"/>
  <c r="F10" i="46"/>
  <c r="G16" i="46"/>
  <c r="F16" i="46"/>
  <c r="G18" i="46" l="1"/>
  <c r="AD40" i="45"/>
  <c r="AN40" i="45"/>
  <c r="AM40" i="45"/>
  <c r="AL40" i="45"/>
  <c r="AK40" i="45"/>
  <c r="AJ40" i="45"/>
  <c r="T40" i="45"/>
  <c r="AQ40" i="45"/>
  <c r="AE40" i="45"/>
  <c r="K40" i="45"/>
  <c r="AB40" i="45"/>
  <c r="L40" i="45"/>
  <c r="AC40" i="45"/>
  <c r="W40" i="45"/>
  <c r="AG40" i="45"/>
  <c r="AR40" i="45"/>
  <c r="AS40" i="45"/>
  <c r="AO40" i="45"/>
  <c r="Y40" i="45"/>
  <c r="AI40" i="45"/>
  <c r="AH40" i="45"/>
  <c r="Z40" i="45"/>
  <c r="X40" i="45"/>
  <c r="S40" i="45"/>
  <c r="Q40" i="45"/>
  <c r="N40" i="45"/>
  <c r="M40" i="45"/>
  <c r="J40" i="45"/>
  <c r="H40" i="45"/>
  <c r="D40" i="45"/>
  <c r="C40" i="45"/>
  <c r="AU4" i="45"/>
  <c r="I118" i="82" l="1"/>
  <c r="I118" i="81"/>
  <c r="I118" i="80"/>
  <c r="I118" i="79"/>
  <c r="I118" i="78"/>
  <c r="I118" i="77"/>
  <c r="I118" i="41"/>
  <c r="I118" i="9"/>
  <c r="AR42" i="45"/>
  <c r="AN42" i="45"/>
  <c r="AJ42" i="45"/>
  <c r="AE42" i="45"/>
  <c r="AL42" i="45"/>
  <c r="K42" i="45"/>
  <c r="AD42" i="45"/>
  <c r="AM42" i="45"/>
  <c r="AK42" i="45"/>
  <c r="T42" i="45"/>
  <c r="AQ42" i="45"/>
  <c r="AB42" i="45"/>
  <c r="L42" i="45"/>
  <c r="AC42" i="45"/>
  <c r="W42" i="45"/>
  <c r="AG42" i="45"/>
  <c r="AS42" i="45"/>
  <c r="AO42" i="45"/>
  <c r="Y42" i="45"/>
  <c r="AI42" i="45"/>
  <c r="AH42" i="45"/>
  <c r="Z42" i="45"/>
  <c r="X42" i="45"/>
  <c r="S42" i="45"/>
  <c r="Q42" i="45"/>
  <c r="N42" i="45"/>
  <c r="M42" i="45"/>
  <c r="J42" i="45"/>
  <c r="H42" i="45"/>
  <c r="D42" i="45"/>
  <c r="C42" i="45"/>
  <c r="I118" i="40"/>
  <c r="I118" i="36"/>
  <c r="I118" i="32"/>
  <c r="I118" i="28"/>
  <c r="I118" i="24"/>
  <c r="I118" i="20"/>
  <c r="I118" i="42"/>
  <c r="I118" i="34"/>
  <c r="I118" i="26"/>
  <c r="I118" i="18"/>
  <c r="I118" i="37"/>
  <c r="I118" i="29"/>
  <c r="I118" i="21"/>
  <c r="I118" i="43"/>
  <c r="I118" i="39"/>
  <c r="I118" i="35"/>
  <c r="I118" i="31"/>
  <c r="I118" i="27"/>
  <c r="I118" i="23"/>
  <c r="I118" i="19"/>
  <c r="I118" i="38"/>
  <c r="I118" i="22"/>
  <c r="I118" i="33"/>
  <c r="I118" i="25"/>
  <c r="I118" i="17"/>
  <c r="I118" i="11"/>
  <c r="I118" i="16"/>
  <c r="I118" i="10"/>
  <c r="AU40" i="45"/>
  <c r="AT40" i="45" l="1"/>
  <c r="C152" i="25"/>
  <c r="G47" i="44"/>
  <c r="H47" i="44" s="1"/>
  <c r="G46" i="44"/>
  <c r="H46" i="44" s="1"/>
  <c r="G45" i="44"/>
  <c r="H45" i="44" s="1"/>
  <c r="G44" i="44"/>
  <c r="H44" i="44" s="1"/>
  <c r="G43" i="44"/>
  <c r="H43" i="44" s="1"/>
  <c r="G42" i="44"/>
  <c r="H42" i="44" s="1"/>
  <c r="G41" i="44"/>
  <c r="G12" i="44"/>
  <c r="H12" i="44" s="1"/>
  <c r="G11" i="44"/>
  <c r="H11" i="44" s="1"/>
  <c r="G10" i="44"/>
  <c r="H10" i="44" s="1"/>
  <c r="G9" i="44"/>
  <c r="H9" i="44" s="1"/>
  <c r="G8" i="44"/>
  <c r="H8" i="44" s="1"/>
  <c r="G7" i="44"/>
  <c r="H7" i="44" s="1"/>
  <c r="G6" i="44"/>
  <c r="H6" i="44" s="1"/>
  <c r="G5" i="44"/>
  <c r="H5" i="44" s="1"/>
  <c r="G48" i="44" l="1"/>
  <c r="H48" i="44" s="1"/>
  <c r="G13" i="44"/>
  <c r="H13" i="44" s="1"/>
  <c r="H41" i="44"/>
  <c r="I116" i="82" l="1"/>
  <c r="I120" i="82" s="1"/>
  <c r="I144" i="82" s="1"/>
  <c r="I145" i="82" s="1"/>
  <c r="I116" i="79"/>
  <c r="I120" i="79" s="1"/>
  <c r="I144" i="79" s="1"/>
  <c r="I145" i="79" s="1"/>
  <c r="I116" i="80"/>
  <c r="I120" i="80" s="1"/>
  <c r="I144" i="80" s="1"/>
  <c r="I145" i="80" s="1"/>
  <c r="I116" i="81"/>
  <c r="I120" i="81" s="1"/>
  <c r="I144" i="81" s="1"/>
  <c r="I145" i="81" s="1"/>
  <c r="I116" i="78"/>
  <c r="I120" i="78" s="1"/>
  <c r="I144" i="78" s="1"/>
  <c r="I145" i="78" s="1"/>
  <c r="I116" i="77"/>
  <c r="I120" i="77" s="1"/>
  <c r="I144" i="77" s="1"/>
  <c r="I145" i="77" s="1"/>
  <c r="I120" i="75"/>
  <c r="I144" i="75" s="1"/>
  <c r="I145" i="75" s="1"/>
  <c r="I120" i="63"/>
  <c r="I144" i="63" s="1"/>
  <c r="I145" i="63" s="1"/>
  <c r="I124" i="63" s="1"/>
  <c r="I120" i="67"/>
  <c r="I144" i="67" s="1"/>
  <c r="I145" i="67" s="1"/>
  <c r="I120" i="68"/>
  <c r="I144" i="68" s="1"/>
  <c r="I145" i="68" s="1"/>
  <c r="I116" i="3"/>
  <c r="I120" i="3" s="1"/>
  <c r="I144" i="3" s="1"/>
  <c r="I145" i="3" s="1"/>
  <c r="I116" i="9"/>
  <c r="I116" i="39"/>
  <c r="I120" i="39" s="1"/>
  <c r="I144" i="39" s="1"/>
  <c r="I145" i="39" s="1"/>
  <c r="I116" i="35"/>
  <c r="I120" i="35" s="1"/>
  <c r="I144" i="35" s="1"/>
  <c r="I145" i="35" s="1"/>
  <c r="I116" i="31"/>
  <c r="I120" i="31" s="1"/>
  <c r="I144" i="31" s="1"/>
  <c r="I145" i="31" s="1"/>
  <c r="I116" i="26"/>
  <c r="I120" i="26" s="1"/>
  <c r="I144" i="26" s="1"/>
  <c r="I145" i="26" s="1"/>
  <c r="I116" i="22"/>
  <c r="I120" i="22" s="1"/>
  <c r="I144" i="22" s="1"/>
  <c r="I145" i="22" s="1"/>
  <c r="I116" i="18"/>
  <c r="I120" i="18" s="1"/>
  <c r="I144" i="18" s="1"/>
  <c r="I145" i="18" s="1"/>
  <c r="I116" i="10"/>
  <c r="I120" i="10" s="1"/>
  <c r="I116" i="17"/>
  <c r="I120" i="17" s="1"/>
  <c r="I144" i="17" s="1"/>
  <c r="I145" i="17" s="1"/>
  <c r="I116" i="42"/>
  <c r="I120" i="42" s="1"/>
  <c r="I144" i="42" s="1"/>
  <c r="I145" i="42" s="1"/>
  <c r="I116" i="38"/>
  <c r="I120" i="38" s="1"/>
  <c r="I144" i="38" s="1"/>
  <c r="I145" i="38" s="1"/>
  <c r="I116" i="34"/>
  <c r="I120" i="34" s="1"/>
  <c r="I144" i="34" s="1"/>
  <c r="I145" i="34" s="1"/>
  <c r="I116" i="29"/>
  <c r="I120" i="29" s="1"/>
  <c r="I144" i="29" s="1"/>
  <c r="I145" i="29" s="1"/>
  <c r="I116" i="25"/>
  <c r="I120" i="25" s="1"/>
  <c r="I144" i="25" s="1"/>
  <c r="I145" i="25" s="1"/>
  <c r="I116" i="21"/>
  <c r="I120" i="21" s="1"/>
  <c r="I144" i="21" s="1"/>
  <c r="I145" i="21" s="1"/>
  <c r="I116" i="41"/>
  <c r="I120" i="41" s="1"/>
  <c r="I144" i="41" s="1"/>
  <c r="I145" i="41" s="1"/>
  <c r="I116" i="37"/>
  <c r="I120" i="37" s="1"/>
  <c r="I144" i="37" s="1"/>
  <c r="I145" i="37" s="1"/>
  <c r="I116" i="33"/>
  <c r="I120" i="33" s="1"/>
  <c r="I144" i="33" s="1"/>
  <c r="I145" i="33" s="1"/>
  <c r="I116" i="28"/>
  <c r="I120" i="28" s="1"/>
  <c r="I144" i="28" s="1"/>
  <c r="I145" i="28" s="1"/>
  <c r="I116" i="24"/>
  <c r="I120" i="24" s="1"/>
  <c r="I144" i="24" s="1"/>
  <c r="I145" i="24" s="1"/>
  <c r="I116" i="20"/>
  <c r="I120" i="20" s="1"/>
  <c r="I144" i="20" s="1"/>
  <c r="I145" i="20" s="1"/>
  <c r="I116" i="16"/>
  <c r="I120" i="16" s="1"/>
  <c r="I144" i="16" s="1"/>
  <c r="I145" i="16" s="1"/>
  <c r="I116" i="40"/>
  <c r="I120" i="40" s="1"/>
  <c r="I144" i="40" s="1"/>
  <c r="I145" i="40" s="1"/>
  <c r="I116" i="36"/>
  <c r="I120" i="36" s="1"/>
  <c r="I144" i="36" s="1"/>
  <c r="I145" i="36" s="1"/>
  <c r="I116" i="32"/>
  <c r="I120" i="32" s="1"/>
  <c r="I144" i="32" s="1"/>
  <c r="I145" i="32" s="1"/>
  <c r="I116" i="27"/>
  <c r="I120" i="27" s="1"/>
  <c r="I144" i="27" s="1"/>
  <c r="I145" i="27" s="1"/>
  <c r="I116" i="23"/>
  <c r="I120" i="23" s="1"/>
  <c r="I144" i="23" s="1"/>
  <c r="I145" i="23" s="1"/>
  <c r="I116" i="19"/>
  <c r="I120" i="19" s="1"/>
  <c r="I144" i="19" s="1"/>
  <c r="I145" i="19" s="1"/>
  <c r="I116" i="43"/>
  <c r="I120" i="43" s="1"/>
  <c r="I144" i="43" s="1"/>
  <c r="I145" i="43" s="1"/>
  <c r="I116" i="11"/>
  <c r="I144" i="51"/>
  <c r="I124" i="81" l="1"/>
  <c r="I124" i="80"/>
  <c r="I124" i="77"/>
  <c r="I124" i="79"/>
  <c r="I124" i="78"/>
  <c r="I124" i="82"/>
  <c r="I135" i="75"/>
  <c r="I129" i="75"/>
  <c r="I124" i="75"/>
  <c r="I130" i="75"/>
  <c r="I128" i="75"/>
  <c r="I133" i="75"/>
  <c r="I131" i="75"/>
  <c r="I124" i="68"/>
  <c r="I125" i="68" s="1"/>
  <c r="I135" i="68"/>
  <c r="I133" i="68"/>
  <c r="I129" i="68"/>
  <c r="I131" i="68"/>
  <c r="I128" i="68"/>
  <c r="I130" i="68"/>
  <c r="I130" i="67"/>
  <c r="I124" i="67"/>
  <c r="I125" i="67" s="1"/>
  <c r="I128" i="67"/>
  <c r="I135" i="67"/>
  <c r="I129" i="67"/>
  <c r="I133" i="67"/>
  <c r="I131" i="67"/>
  <c r="I125" i="63"/>
  <c r="I120" i="11"/>
  <c r="I144" i="11" s="1"/>
  <c r="I145" i="11" s="1"/>
  <c r="I124" i="11" s="1"/>
  <c r="I145" i="51"/>
  <c r="I144" i="10"/>
  <c r="I120" i="4"/>
  <c r="I144" i="4" s="1"/>
  <c r="I145" i="4" s="1"/>
  <c r="I124" i="17"/>
  <c r="I124" i="27"/>
  <c r="I124" i="33"/>
  <c r="I124" i="38"/>
  <c r="I124" i="42"/>
  <c r="I124" i="21"/>
  <c r="I124" i="28"/>
  <c r="I124" i="20"/>
  <c r="I124" i="29"/>
  <c r="I124" i="34"/>
  <c r="I124" i="39"/>
  <c r="I124" i="43"/>
  <c r="I124" i="23"/>
  <c r="I124" i="22"/>
  <c r="I124" i="31"/>
  <c r="I124" i="36"/>
  <c r="I124" i="40"/>
  <c r="I124" i="16"/>
  <c r="I124" i="25"/>
  <c r="I124" i="18"/>
  <c r="I124" i="3"/>
  <c r="I124" i="24"/>
  <c r="I124" i="32"/>
  <c r="I124" i="37"/>
  <c r="I124" i="41"/>
  <c r="I124" i="19"/>
  <c r="I124" i="26"/>
  <c r="I124" i="35"/>
  <c r="I125" i="79" l="1"/>
  <c r="I128" i="79" s="1"/>
  <c r="I125" i="82"/>
  <c r="I128" i="82" s="1"/>
  <c r="I125" i="80"/>
  <c r="I128" i="80" s="1"/>
  <c r="I125" i="78"/>
  <c r="I128" i="78" s="1"/>
  <c r="I125" i="77"/>
  <c r="I133" i="77" s="1"/>
  <c r="I125" i="81"/>
  <c r="I125" i="75"/>
  <c r="I136" i="75" s="1"/>
  <c r="I146" i="75" s="1"/>
  <c r="I147" i="75" s="1"/>
  <c r="I136" i="67"/>
  <c r="I146" i="67" s="1"/>
  <c r="I147" i="67" s="1"/>
  <c r="I136" i="68"/>
  <c r="I146" i="68" s="1"/>
  <c r="I147" i="68" s="1"/>
  <c r="I133" i="63"/>
  <c r="I129" i="63"/>
  <c r="I135" i="63"/>
  <c r="I128" i="63"/>
  <c r="I130" i="63"/>
  <c r="I131" i="63"/>
  <c r="I145" i="10"/>
  <c r="I124" i="51"/>
  <c r="I125" i="51" s="1"/>
  <c r="I125" i="42"/>
  <c r="I125" i="38"/>
  <c r="I133" i="38" s="1"/>
  <c r="I125" i="36"/>
  <c r="I125" i="34"/>
  <c r="I135" i="34" s="1"/>
  <c r="I125" i="33"/>
  <c r="I133" i="33" s="1"/>
  <c r="I125" i="32"/>
  <c r="I129" i="32" s="1"/>
  <c r="I125" i="31"/>
  <c r="I133" i="31" s="1"/>
  <c r="I125" i="29"/>
  <c r="I128" i="29" s="1"/>
  <c r="I125" i="28"/>
  <c r="I129" i="28" s="1"/>
  <c r="I125" i="27"/>
  <c r="I135" i="27" s="1"/>
  <c r="I125" i="26"/>
  <c r="I129" i="26" s="1"/>
  <c r="I125" i="21"/>
  <c r="I133" i="21" s="1"/>
  <c r="I125" i="20"/>
  <c r="I130" i="20" s="1"/>
  <c r="I125" i="19"/>
  <c r="I131" i="19" s="1"/>
  <c r="I125" i="18"/>
  <c r="I125" i="3"/>
  <c r="I129" i="3" s="1"/>
  <c r="I124" i="4"/>
  <c r="I125" i="4" s="1"/>
  <c r="I133" i="4"/>
  <c r="I128" i="4"/>
  <c r="I129" i="4"/>
  <c r="I131" i="4"/>
  <c r="I130" i="4"/>
  <c r="I135" i="4"/>
  <c r="I125" i="35"/>
  <c r="I131" i="35" s="1"/>
  <c r="I125" i="11"/>
  <c r="I125" i="17"/>
  <c r="I129" i="17" s="1"/>
  <c r="I125" i="41"/>
  <c r="I128" i="41" s="1"/>
  <c r="I125" i="24"/>
  <c r="I130" i="24" s="1"/>
  <c r="I125" i="40"/>
  <c r="I131" i="40" s="1"/>
  <c r="I125" i="22"/>
  <c r="I131" i="22" s="1"/>
  <c r="I125" i="39"/>
  <c r="I128" i="39" s="1"/>
  <c r="I125" i="25"/>
  <c r="I133" i="25" s="1"/>
  <c r="I125" i="23"/>
  <c r="I133" i="23" s="1"/>
  <c r="I125" i="37"/>
  <c r="I131" i="37" s="1"/>
  <c r="I125" i="16"/>
  <c r="I135" i="16" s="1"/>
  <c r="I125" i="43"/>
  <c r="I129" i="82" l="1"/>
  <c r="I129" i="80"/>
  <c r="I130" i="80"/>
  <c r="I131" i="79"/>
  <c r="I130" i="79"/>
  <c r="I135" i="79"/>
  <c r="I133" i="79"/>
  <c r="I133" i="82"/>
  <c r="I133" i="80"/>
  <c r="I133" i="78"/>
  <c r="I135" i="78"/>
  <c r="I130" i="78"/>
  <c r="I131" i="78"/>
  <c r="I129" i="78"/>
  <c r="I129" i="79"/>
  <c r="I135" i="80"/>
  <c r="I131" i="80"/>
  <c r="I135" i="81"/>
  <c r="I130" i="81"/>
  <c r="I129" i="81"/>
  <c r="I131" i="81"/>
  <c r="I133" i="81"/>
  <c r="I128" i="81"/>
  <c r="I135" i="82"/>
  <c r="I129" i="77"/>
  <c r="I135" i="77"/>
  <c r="I131" i="77"/>
  <c r="I130" i="77"/>
  <c r="I128" i="77"/>
  <c r="I130" i="82"/>
  <c r="I131" i="82"/>
  <c r="F151" i="75"/>
  <c r="I151" i="75" s="1"/>
  <c r="I153" i="75" s="1"/>
  <c r="C151" i="75"/>
  <c r="F151" i="68"/>
  <c r="I151" i="68" s="1"/>
  <c r="C151" i="68"/>
  <c r="F151" i="67"/>
  <c r="I151" i="67" s="1"/>
  <c r="I152" i="67" s="1"/>
  <c r="C151" i="67"/>
  <c r="I136" i="63"/>
  <c r="I146" i="63" s="1"/>
  <c r="I147" i="63" s="1"/>
  <c r="I131" i="3"/>
  <c r="I130" i="3"/>
  <c r="I128" i="3"/>
  <c r="I133" i="3"/>
  <c r="I135" i="3"/>
  <c r="I128" i="51"/>
  <c r="I129" i="51"/>
  <c r="I135" i="51"/>
  <c r="I128" i="11"/>
  <c r="I135" i="11"/>
  <c r="I131" i="11"/>
  <c r="I129" i="11"/>
  <c r="I130" i="11"/>
  <c r="I133" i="11"/>
  <c r="I135" i="25"/>
  <c r="I131" i="32"/>
  <c r="I131" i="51"/>
  <c r="I130" i="51"/>
  <c r="I133" i="51"/>
  <c r="I130" i="16"/>
  <c r="I131" i="16"/>
  <c r="I129" i="16"/>
  <c r="I128" i="16"/>
  <c r="I133" i="16"/>
  <c r="I128" i="17"/>
  <c r="I131" i="17"/>
  <c r="I135" i="17"/>
  <c r="I133" i="17"/>
  <c r="I130" i="17"/>
  <c r="I129" i="18"/>
  <c r="I131" i="18"/>
  <c r="I135" i="18"/>
  <c r="I130" i="18"/>
  <c r="I128" i="18"/>
  <c r="I133" i="18"/>
  <c r="I129" i="19"/>
  <c r="I128" i="19"/>
  <c r="I133" i="19"/>
  <c r="I135" i="19"/>
  <c r="I130" i="19"/>
  <c r="I128" i="20"/>
  <c r="I133" i="20"/>
  <c r="I131" i="20"/>
  <c r="I129" i="20"/>
  <c r="I135" i="20"/>
  <c r="I131" i="21"/>
  <c r="I129" i="21"/>
  <c r="I128" i="21"/>
  <c r="I135" i="21"/>
  <c r="I130" i="21"/>
  <c r="I135" i="22"/>
  <c r="I129" i="22"/>
  <c r="I128" i="22"/>
  <c r="I130" i="22"/>
  <c r="I133" i="22"/>
  <c r="I128" i="23"/>
  <c r="I135" i="23"/>
  <c r="I130" i="23"/>
  <c r="I131" i="23"/>
  <c r="I129" i="23"/>
  <c r="I128" i="24"/>
  <c r="I133" i="24"/>
  <c r="I129" i="24"/>
  <c r="I131" i="24"/>
  <c r="I135" i="24"/>
  <c r="I130" i="25"/>
  <c r="I129" i="25"/>
  <c r="I131" i="25"/>
  <c r="I128" i="25"/>
  <c r="I133" i="26"/>
  <c r="I128" i="26"/>
  <c r="I135" i="26"/>
  <c r="I131" i="26"/>
  <c r="I130" i="26"/>
  <c r="I130" i="27"/>
  <c r="I131" i="27"/>
  <c r="I128" i="27"/>
  <c r="I133" i="27"/>
  <c r="I129" i="27"/>
  <c r="I129" i="31"/>
  <c r="I131" i="31"/>
  <c r="I128" i="31"/>
  <c r="I135" i="31"/>
  <c r="I130" i="31"/>
  <c r="I130" i="32"/>
  <c r="I135" i="32"/>
  <c r="I128" i="32"/>
  <c r="I133" i="32"/>
  <c r="I128" i="33"/>
  <c r="I135" i="33"/>
  <c r="I130" i="33"/>
  <c r="I129" i="33"/>
  <c r="I131" i="33"/>
  <c r="I133" i="34"/>
  <c r="I128" i="34"/>
  <c r="I129" i="34"/>
  <c r="I130" i="34"/>
  <c r="I131" i="34"/>
  <c r="I133" i="35"/>
  <c r="I135" i="35"/>
  <c r="I128" i="35"/>
  <c r="I130" i="35"/>
  <c r="I129" i="35"/>
  <c r="I135" i="36"/>
  <c r="I129" i="36"/>
  <c r="I133" i="36"/>
  <c r="I128" i="36"/>
  <c r="I131" i="36"/>
  <c r="I130" i="36"/>
  <c r="I130" i="38"/>
  <c r="I129" i="38"/>
  <c r="I133" i="37"/>
  <c r="I135" i="37"/>
  <c r="I130" i="37"/>
  <c r="I128" i="37"/>
  <c r="I129" i="37"/>
  <c r="I131" i="38"/>
  <c r="I135" i="38"/>
  <c r="I128" i="38"/>
  <c r="I129" i="39"/>
  <c r="I133" i="39"/>
  <c r="I130" i="39"/>
  <c r="I131" i="39"/>
  <c r="I135" i="39"/>
  <c r="I133" i="40"/>
  <c r="I128" i="40"/>
  <c r="I129" i="40"/>
  <c r="I130" i="40"/>
  <c r="I135" i="40"/>
  <c r="I131" i="41"/>
  <c r="I129" i="41"/>
  <c r="I133" i="41"/>
  <c r="I130" i="41"/>
  <c r="I135" i="41"/>
  <c r="I129" i="42"/>
  <c r="I133" i="42"/>
  <c r="I135" i="42"/>
  <c r="I130" i="42"/>
  <c r="I128" i="42"/>
  <c r="I131" i="42"/>
  <c r="I135" i="43"/>
  <c r="I130" i="43"/>
  <c r="I131" i="43"/>
  <c r="I130" i="28"/>
  <c r="I128" i="28"/>
  <c r="I133" i="28"/>
  <c r="I131" i="28"/>
  <c r="I135" i="28"/>
  <c r="I130" i="29"/>
  <c r="I129" i="29"/>
  <c r="I135" i="29"/>
  <c r="I131" i="29"/>
  <c r="I133" i="29"/>
  <c r="I128" i="43"/>
  <c r="I129" i="43"/>
  <c r="I133" i="43"/>
  <c r="I124" i="10"/>
  <c r="I125" i="10" s="1"/>
  <c r="I136" i="4"/>
  <c r="I146" i="4" s="1"/>
  <c r="I147" i="4" s="1"/>
  <c r="C151" i="4" s="1"/>
  <c r="I136" i="79" l="1"/>
  <c r="I146" i="79" s="1"/>
  <c r="I147" i="79" s="1"/>
  <c r="F151" i="79" s="1"/>
  <c r="I151" i="79" s="1"/>
  <c r="I153" i="79" s="1"/>
  <c r="I154" i="79" s="1"/>
  <c r="I136" i="82"/>
  <c r="I146" i="82" s="1"/>
  <c r="I147" i="82" s="1"/>
  <c r="C151" i="82" s="1"/>
  <c r="I136" i="81"/>
  <c r="I146" i="81" s="1"/>
  <c r="I147" i="81" s="1"/>
  <c r="C151" i="81" s="1"/>
  <c r="I136" i="80"/>
  <c r="I146" i="80" s="1"/>
  <c r="I147" i="80" s="1"/>
  <c r="C151" i="80" s="1"/>
  <c r="I136" i="77"/>
  <c r="I146" i="77" s="1"/>
  <c r="I147" i="77" s="1"/>
  <c r="I136" i="78"/>
  <c r="I146" i="78" s="1"/>
  <c r="I147" i="78" s="1"/>
  <c r="F151" i="63"/>
  <c r="I151" i="63" s="1"/>
  <c r="I153" i="63" s="1"/>
  <c r="C151" i="63"/>
  <c r="I152" i="68"/>
  <c r="I153" i="68" s="1"/>
  <c r="D8" i="1" s="1"/>
  <c r="I154" i="75"/>
  <c r="D9" i="1" s="1"/>
  <c r="C9" i="1"/>
  <c r="I153" i="67"/>
  <c r="D7" i="1" s="1"/>
  <c r="C7" i="1"/>
  <c r="I136" i="23"/>
  <c r="I146" i="23" s="1"/>
  <c r="I147" i="23" s="1"/>
  <c r="F151" i="23" s="1"/>
  <c r="I151" i="23" s="1"/>
  <c r="I136" i="3"/>
  <c r="I146" i="3" s="1"/>
  <c r="I147" i="3" s="1"/>
  <c r="C151" i="3" s="1"/>
  <c r="I136" i="41"/>
  <c r="I146" i="41" s="1"/>
  <c r="I147" i="41" s="1"/>
  <c r="F151" i="41" s="1"/>
  <c r="I151" i="41" s="1"/>
  <c r="I136" i="37"/>
  <c r="I146" i="37" s="1"/>
  <c r="I147" i="37" s="1"/>
  <c r="F151" i="37" s="1"/>
  <c r="I151" i="37" s="1"/>
  <c r="I136" i="34"/>
  <c r="I146" i="34" s="1"/>
  <c r="I147" i="34" s="1"/>
  <c r="C151" i="34" s="1"/>
  <c r="I136" i="32"/>
  <c r="I146" i="32" s="1"/>
  <c r="I147" i="32" s="1"/>
  <c r="F151" i="32" s="1"/>
  <c r="I151" i="32" s="1"/>
  <c r="I136" i="51"/>
  <c r="I146" i="51" s="1"/>
  <c r="I147" i="51" s="1"/>
  <c r="C151" i="51" s="1"/>
  <c r="I133" i="10"/>
  <c r="I128" i="10"/>
  <c r="I129" i="10"/>
  <c r="I131" i="10"/>
  <c r="I130" i="10"/>
  <c r="I135" i="10"/>
  <c r="I136" i="11"/>
  <c r="I146" i="11" s="1"/>
  <c r="I147" i="11" s="1"/>
  <c r="I136" i="17"/>
  <c r="I146" i="17" s="1"/>
  <c r="I147" i="17" s="1"/>
  <c r="F151" i="17" s="1"/>
  <c r="I151" i="17" s="1"/>
  <c r="I153" i="17" s="1"/>
  <c r="I136" i="18"/>
  <c r="I146" i="18" s="1"/>
  <c r="I147" i="18" s="1"/>
  <c r="C151" i="18" s="1"/>
  <c r="I136" i="19"/>
  <c r="I146" i="19" s="1"/>
  <c r="I147" i="19" s="1"/>
  <c r="F151" i="19" s="1"/>
  <c r="I151" i="19" s="1"/>
  <c r="C24" i="1" s="1"/>
  <c r="I136" i="20"/>
  <c r="I146" i="20" s="1"/>
  <c r="I147" i="20" s="1"/>
  <c r="F151" i="20" s="1"/>
  <c r="I151" i="20" s="1"/>
  <c r="I136" i="22"/>
  <c r="I146" i="22" s="1"/>
  <c r="I147" i="22" s="1"/>
  <c r="C151" i="22" s="1"/>
  <c r="I136" i="24"/>
  <c r="I146" i="24" s="1"/>
  <c r="I147" i="24" s="1"/>
  <c r="F151" i="24" s="1"/>
  <c r="I151" i="24" s="1"/>
  <c r="I136" i="25"/>
  <c r="I146" i="25" s="1"/>
  <c r="I147" i="25" s="1"/>
  <c r="C151" i="25" s="1"/>
  <c r="I136" i="26"/>
  <c r="I146" i="26" s="1"/>
  <c r="I147" i="26" s="1"/>
  <c r="C151" i="26" s="1"/>
  <c r="I136" i="27"/>
  <c r="I146" i="27" s="1"/>
  <c r="I147" i="27" s="1"/>
  <c r="C151" i="27" s="1"/>
  <c r="I136" i="31"/>
  <c r="I146" i="31" s="1"/>
  <c r="I147" i="31" s="1"/>
  <c r="F151" i="31" s="1"/>
  <c r="I151" i="31" s="1"/>
  <c r="C35" i="1" s="1"/>
  <c r="I136" i="35"/>
  <c r="I146" i="35" s="1"/>
  <c r="I147" i="35" s="1"/>
  <c r="C151" i="35" s="1"/>
  <c r="I136" i="36"/>
  <c r="I146" i="36" s="1"/>
  <c r="I147" i="36" s="1"/>
  <c r="C151" i="36" s="1"/>
  <c r="I136" i="40"/>
  <c r="I146" i="40" s="1"/>
  <c r="I147" i="40" s="1"/>
  <c r="F151" i="40" s="1"/>
  <c r="I151" i="40" s="1"/>
  <c r="I136" i="16"/>
  <c r="I146" i="16" s="1"/>
  <c r="I147" i="16" s="1"/>
  <c r="C151" i="16" s="1"/>
  <c r="I136" i="21"/>
  <c r="I146" i="21" s="1"/>
  <c r="I147" i="21" s="1"/>
  <c r="C151" i="21" s="1"/>
  <c r="I136" i="33"/>
  <c r="I146" i="33" s="1"/>
  <c r="I147" i="33" s="1"/>
  <c r="F151" i="33" s="1"/>
  <c r="I151" i="33" s="1"/>
  <c r="C37" i="1" s="1"/>
  <c r="I136" i="42"/>
  <c r="I146" i="42" s="1"/>
  <c r="I147" i="42" s="1"/>
  <c r="C151" i="42" s="1"/>
  <c r="I136" i="39"/>
  <c r="I146" i="39" s="1"/>
  <c r="I147" i="39" s="1"/>
  <c r="C151" i="39" s="1"/>
  <c r="I136" i="38"/>
  <c r="I146" i="38" s="1"/>
  <c r="I147" i="38" s="1"/>
  <c r="C151" i="38" s="1"/>
  <c r="I136" i="28"/>
  <c r="I146" i="28" s="1"/>
  <c r="I147" i="28" s="1"/>
  <c r="F151" i="28" s="1"/>
  <c r="I151" i="28" s="1"/>
  <c r="C33" i="1" s="1"/>
  <c r="I136" i="29"/>
  <c r="I146" i="29" s="1"/>
  <c r="I147" i="29" s="1"/>
  <c r="F151" i="29" s="1"/>
  <c r="I151" i="29" s="1"/>
  <c r="C34" i="1" s="1"/>
  <c r="F151" i="4"/>
  <c r="I151" i="4" s="1"/>
  <c r="F151" i="82" l="1"/>
  <c r="I151" i="82" s="1"/>
  <c r="I153" i="82" s="1"/>
  <c r="I154" i="82" s="1"/>
  <c r="C151" i="79"/>
  <c r="F195" i="79" s="1"/>
  <c r="H195" i="79" s="1"/>
  <c r="F151" i="80"/>
  <c r="I151" i="80" s="1"/>
  <c r="I153" i="80" s="1"/>
  <c r="I154" i="80" s="1"/>
  <c r="F151" i="81"/>
  <c r="I151" i="81" s="1"/>
  <c r="I153" i="81" s="1"/>
  <c r="I154" i="81" s="1"/>
  <c r="F189" i="79"/>
  <c r="H189" i="79" s="1"/>
  <c r="G207" i="79"/>
  <c r="H207" i="79" s="1"/>
  <c r="F183" i="79"/>
  <c r="H183" i="79" s="1"/>
  <c r="G201" i="79"/>
  <c r="H201" i="79" s="1"/>
  <c r="F196" i="82"/>
  <c r="H196" i="82" s="1"/>
  <c r="F184" i="82"/>
  <c r="H184" i="82" s="1"/>
  <c r="F190" i="82"/>
  <c r="H190" i="82" s="1"/>
  <c r="G208" i="82"/>
  <c r="H208" i="82" s="1"/>
  <c r="G202" i="82"/>
  <c r="H202" i="82" s="1"/>
  <c r="F151" i="78"/>
  <c r="I151" i="78" s="1"/>
  <c r="I153" i="78" s="1"/>
  <c r="I154" i="78" s="1"/>
  <c r="C151" i="78"/>
  <c r="F184" i="80"/>
  <c r="H184" i="80" s="1"/>
  <c r="G208" i="80"/>
  <c r="H208" i="80" s="1"/>
  <c r="G202" i="80"/>
  <c r="H202" i="80" s="1"/>
  <c r="F190" i="80"/>
  <c r="H190" i="80" s="1"/>
  <c r="F196" i="80"/>
  <c r="H196" i="80" s="1"/>
  <c r="F190" i="81"/>
  <c r="H190" i="81" s="1"/>
  <c r="G208" i="81"/>
  <c r="H208" i="81" s="1"/>
  <c r="F196" i="81"/>
  <c r="H196" i="81" s="1"/>
  <c r="G202" i="81"/>
  <c r="H202" i="81" s="1"/>
  <c r="F184" i="81"/>
  <c r="H184" i="81" s="1"/>
  <c r="C151" i="77"/>
  <c r="F151" i="77"/>
  <c r="I151" i="77" s="1"/>
  <c r="I153" i="77" s="1"/>
  <c r="I154" i="77" s="1"/>
  <c r="F196" i="9"/>
  <c r="H196" i="9" s="1"/>
  <c r="G209" i="82"/>
  <c r="H209" i="82" s="1"/>
  <c r="F185" i="82"/>
  <c r="H185" i="82" s="1"/>
  <c r="G209" i="81"/>
  <c r="H209" i="81" s="1"/>
  <c r="F185" i="81"/>
  <c r="H185" i="81" s="1"/>
  <c r="F191" i="80"/>
  <c r="H191" i="80" s="1"/>
  <c r="F196" i="79"/>
  <c r="H196" i="79" s="1"/>
  <c r="G202" i="78"/>
  <c r="H202" i="78" s="1"/>
  <c r="G202" i="9"/>
  <c r="H202" i="9" s="1"/>
  <c r="F191" i="81"/>
  <c r="H191" i="81" s="1"/>
  <c r="G202" i="79"/>
  <c r="H202" i="79" s="1"/>
  <c r="G208" i="78"/>
  <c r="F190" i="9"/>
  <c r="H190" i="9" s="1"/>
  <c r="G203" i="82"/>
  <c r="H203" i="82" s="1"/>
  <c r="G203" i="81"/>
  <c r="H203" i="81" s="1"/>
  <c r="G209" i="80"/>
  <c r="H209" i="80" s="1"/>
  <c r="H210" i="80" s="1"/>
  <c r="F185" i="80"/>
  <c r="H185" i="80" s="1"/>
  <c r="F190" i="79"/>
  <c r="H190" i="79" s="1"/>
  <c r="H191" i="79" s="1"/>
  <c r="E214" i="79" s="1"/>
  <c r="I214" i="79" s="1"/>
  <c r="F190" i="78"/>
  <c r="H190" i="78" s="1"/>
  <c r="F197" i="80"/>
  <c r="H197" i="80" s="1"/>
  <c r="G208" i="9"/>
  <c r="H208" i="9" s="1"/>
  <c r="F184" i="9"/>
  <c r="H184" i="9" s="1"/>
  <c r="F197" i="82"/>
  <c r="H197" i="82" s="1"/>
  <c r="F197" i="81"/>
  <c r="H197" i="81" s="1"/>
  <c r="G203" i="80"/>
  <c r="H203" i="80" s="1"/>
  <c r="H204" i="80" s="1"/>
  <c r="E217" i="80" s="1"/>
  <c r="I217" i="80" s="1"/>
  <c r="G208" i="79"/>
  <c r="H208" i="79" s="1"/>
  <c r="F184" i="79"/>
  <c r="H184" i="79" s="1"/>
  <c r="F191" i="82"/>
  <c r="H191" i="82" s="1"/>
  <c r="F184" i="77"/>
  <c r="H184" i="77" s="1"/>
  <c r="F184" i="78"/>
  <c r="H184" i="78" s="1"/>
  <c r="F190" i="77"/>
  <c r="H190" i="77" s="1"/>
  <c r="I154" i="63"/>
  <c r="D11" i="1" s="1"/>
  <c r="F196" i="77"/>
  <c r="H196" i="77" s="1"/>
  <c r="C11" i="1"/>
  <c r="G208" i="77"/>
  <c r="H208" i="77" s="1"/>
  <c r="G202" i="77"/>
  <c r="H202" i="77" s="1"/>
  <c r="C8" i="1"/>
  <c r="C151" i="11"/>
  <c r="F151" i="11"/>
  <c r="I151" i="11" s="1"/>
  <c r="C151" i="23"/>
  <c r="C151" i="41"/>
  <c r="C151" i="37"/>
  <c r="I153" i="41"/>
  <c r="I154" i="41" s="1"/>
  <c r="D45" i="1" s="1"/>
  <c r="C45" i="1"/>
  <c r="I153" i="32"/>
  <c r="I154" i="32" s="1"/>
  <c r="D36" i="1" s="1"/>
  <c r="C36" i="1"/>
  <c r="I153" i="37"/>
  <c r="I154" i="37" s="1"/>
  <c r="D41" i="1" s="1"/>
  <c r="C41" i="1"/>
  <c r="I153" i="20"/>
  <c r="I154" i="20" s="1"/>
  <c r="D25" i="1" s="1"/>
  <c r="C25" i="1"/>
  <c r="F151" i="3"/>
  <c r="I151" i="3" s="1"/>
  <c r="I153" i="3" s="1"/>
  <c r="I153" i="23"/>
  <c r="I154" i="23" s="1"/>
  <c r="D28" i="1" s="1"/>
  <c r="C28" i="1"/>
  <c r="I153" i="24"/>
  <c r="I154" i="24" s="1"/>
  <c r="D29" i="1" s="1"/>
  <c r="C29" i="1"/>
  <c r="I153" i="40"/>
  <c r="I154" i="40" s="1"/>
  <c r="D44" i="1" s="1"/>
  <c r="C44" i="1"/>
  <c r="I154" i="17"/>
  <c r="D22" i="1" s="1"/>
  <c r="C22" i="1"/>
  <c r="F151" i="34"/>
  <c r="I151" i="34" s="1"/>
  <c r="C151" i="32"/>
  <c r="F151" i="26"/>
  <c r="I151" i="26" s="1"/>
  <c r="C31" i="1" s="1"/>
  <c r="F151" i="25"/>
  <c r="I151" i="25" s="1"/>
  <c r="C151" i="24"/>
  <c r="C151" i="19"/>
  <c r="F151" i="51"/>
  <c r="I151" i="51" s="1"/>
  <c r="I153" i="51" s="1"/>
  <c r="C10" i="1" s="1"/>
  <c r="I136" i="10"/>
  <c r="I146" i="10" s="1"/>
  <c r="I147" i="10" s="1"/>
  <c r="C151" i="10" s="1"/>
  <c r="F151" i="18"/>
  <c r="I151" i="18" s="1"/>
  <c r="I153" i="19"/>
  <c r="I154" i="19" s="1"/>
  <c r="D24" i="1" s="1"/>
  <c r="C151" i="20"/>
  <c r="F151" i="21"/>
  <c r="I151" i="21" s="1"/>
  <c r="C26" i="1" s="1"/>
  <c r="F151" i="22"/>
  <c r="I151" i="22" s="1"/>
  <c r="C27" i="1" s="1"/>
  <c r="F151" i="27"/>
  <c r="I151" i="27" s="1"/>
  <c r="C32" i="1" s="1"/>
  <c r="I153" i="31"/>
  <c r="I154" i="31" s="1"/>
  <c r="D35" i="1" s="1"/>
  <c r="C151" i="31"/>
  <c r="C151" i="33"/>
  <c r="F151" i="35"/>
  <c r="I151" i="35" s="1"/>
  <c r="C39" i="1" s="1"/>
  <c r="F151" i="36"/>
  <c r="I151" i="36" s="1"/>
  <c r="F151" i="39"/>
  <c r="I151" i="39" s="1"/>
  <c r="F151" i="42"/>
  <c r="I151" i="42" s="1"/>
  <c r="C46" i="1" s="1"/>
  <c r="F151" i="16"/>
  <c r="I151" i="16" s="1"/>
  <c r="C21" i="1" s="1"/>
  <c r="I153" i="33"/>
  <c r="I154" i="33" s="1"/>
  <c r="D37" i="1" s="1"/>
  <c r="F151" i="38"/>
  <c r="I151" i="38" s="1"/>
  <c r="C42" i="1" s="1"/>
  <c r="I153" i="28"/>
  <c r="I154" i="28" s="1"/>
  <c r="D33" i="1" s="1"/>
  <c r="C151" i="28"/>
  <c r="I153" i="29"/>
  <c r="I154" i="29" s="1"/>
  <c r="D34" i="1" s="1"/>
  <c r="C151" i="29"/>
  <c r="C151" i="40"/>
  <c r="C151" i="17"/>
  <c r="I153" i="4"/>
  <c r="C5" i="1" s="1"/>
  <c r="H204" i="82" l="1"/>
  <c r="E217" i="82" s="1"/>
  <c r="I217" i="82" s="1"/>
  <c r="H209" i="79"/>
  <c r="I153" i="11"/>
  <c r="I154" i="11" s="1"/>
  <c r="D19" i="1" s="1"/>
  <c r="C19" i="1"/>
  <c r="H186" i="82"/>
  <c r="E214" i="82" s="1"/>
  <c r="I214" i="82" s="1"/>
  <c r="H210" i="82"/>
  <c r="E218" i="82" s="1"/>
  <c r="I218" i="82" s="1"/>
  <c r="H204" i="81"/>
  <c r="E217" i="81" s="1"/>
  <c r="I217" i="81" s="1"/>
  <c r="H186" i="80"/>
  <c r="E214" i="80" s="1"/>
  <c r="I214" i="80" s="1"/>
  <c r="H198" i="80"/>
  <c r="E216" i="80" s="1"/>
  <c r="I216" i="80" s="1"/>
  <c r="H197" i="79"/>
  <c r="E215" i="79" s="1"/>
  <c r="I215" i="79" s="1"/>
  <c r="H203" i="79"/>
  <c r="E216" i="79" s="1"/>
  <c r="I216" i="79" s="1"/>
  <c r="H186" i="81"/>
  <c r="E214" i="81" s="1"/>
  <c r="I214" i="81" s="1"/>
  <c r="H192" i="81"/>
  <c r="E215" i="81" s="1"/>
  <c r="I215" i="81" s="1"/>
  <c r="H198" i="82"/>
  <c r="E216" i="82" s="1"/>
  <c r="I216" i="82" s="1"/>
  <c r="G201" i="78"/>
  <c r="H201" i="78" s="1"/>
  <c r="H203" i="78" s="1"/>
  <c r="E216" i="78" s="1"/>
  <c r="I216" i="78" s="1"/>
  <c r="F183" i="78"/>
  <c r="H183" i="78" s="1"/>
  <c r="H185" i="78" s="1"/>
  <c r="E213" i="78" s="1"/>
  <c r="I213" i="78" s="1"/>
  <c r="G207" i="78"/>
  <c r="F189" i="78"/>
  <c r="H189" i="78" s="1"/>
  <c r="H191" i="78" s="1"/>
  <c r="E214" i="78" s="1"/>
  <c r="I214" i="78" s="1"/>
  <c r="H192" i="82"/>
  <c r="E215" i="82" s="1"/>
  <c r="I215" i="82" s="1"/>
  <c r="H192" i="80"/>
  <c r="E215" i="80" s="1"/>
  <c r="I215" i="80" s="1"/>
  <c r="F195" i="77"/>
  <c r="H195" i="77" s="1"/>
  <c r="H197" i="77" s="1"/>
  <c r="E215" i="77" s="1"/>
  <c r="I215" i="77" s="1"/>
  <c r="F183" i="77"/>
  <c r="H183" i="77" s="1"/>
  <c r="H185" i="77" s="1"/>
  <c r="E213" i="77" s="1"/>
  <c r="I213" i="77" s="1"/>
  <c r="G207" i="77"/>
  <c r="H207" i="77" s="1"/>
  <c r="H209" i="77" s="1"/>
  <c r="G201" i="77"/>
  <c r="H201" i="77" s="1"/>
  <c r="H203" i="77" s="1"/>
  <c r="E216" i="77" s="1"/>
  <c r="I216" i="77" s="1"/>
  <c r="F189" i="77"/>
  <c r="H189" i="77" s="1"/>
  <c r="H191" i="77" s="1"/>
  <c r="E214" i="77" s="1"/>
  <c r="I214" i="77" s="1"/>
  <c r="H198" i="81"/>
  <c r="E216" i="81" s="1"/>
  <c r="I216" i="81" s="1"/>
  <c r="H185" i="79"/>
  <c r="E213" i="79" s="1"/>
  <c r="I213" i="79" s="1"/>
  <c r="H210" i="81"/>
  <c r="I219" i="81" s="1"/>
  <c r="E217" i="79"/>
  <c r="I217" i="79" s="1"/>
  <c r="I218" i="79"/>
  <c r="I219" i="80"/>
  <c r="E218" i="80"/>
  <c r="I218" i="80" s="1"/>
  <c r="I153" i="35"/>
  <c r="I154" i="35" s="1"/>
  <c r="D39" i="1" s="1"/>
  <c r="I153" i="25"/>
  <c r="I154" i="25" s="1"/>
  <c r="D30" i="1" s="1"/>
  <c r="C30" i="1"/>
  <c r="I153" i="39"/>
  <c r="I154" i="39" s="1"/>
  <c r="D43" i="1" s="1"/>
  <c r="C43" i="1"/>
  <c r="I153" i="36"/>
  <c r="I154" i="36" s="1"/>
  <c r="D40" i="1" s="1"/>
  <c r="C40" i="1"/>
  <c r="I153" i="18"/>
  <c r="I154" i="18" s="1"/>
  <c r="D23" i="1" s="1"/>
  <c r="C23" i="1"/>
  <c r="I154" i="51"/>
  <c r="D10" i="1" s="1"/>
  <c r="I153" i="34"/>
  <c r="I154" i="34" s="1"/>
  <c r="D38" i="1" s="1"/>
  <c r="C38" i="1"/>
  <c r="I154" i="3"/>
  <c r="D4" i="1" s="1"/>
  <c r="C4" i="1"/>
  <c r="I154" i="4"/>
  <c r="D5" i="1" s="1"/>
  <c r="I153" i="26"/>
  <c r="I154" i="26" s="1"/>
  <c r="D31" i="1" s="1"/>
  <c r="F151" i="10"/>
  <c r="I151" i="10" s="1"/>
  <c r="C16" i="1" s="1"/>
  <c r="I153" i="21"/>
  <c r="I154" i="21" s="1"/>
  <c r="D26" i="1" s="1"/>
  <c r="I153" i="22"/>
  <c r="I154" i="22" s="1"/>
  <c r="D27" i="1" s="1"/>
  <c r="I153" i="27"/>
  <c r="I154" i="27" s="1"/>
  <c r="D32" i="1" s="1"/>
  <c r="I153" i="42"/>
  <c r="I154" i="42" s="1"/>
  <c r="D46" i="1" s="1"/>
  <c r="I153" i="16"/>
  <c r="I154" i="16" s="1"/>
  <c r="D21" i="1" s="1"/>
  <c r="I153" i="38"/>
  <c r="I154" i="38" s="1"/>
  <c r="D42" i="1" s="1"/>
  <c r="I221" i="82" l="1"/>
  <c r="I172" i="82" s="1"/>
  <c r="I175" i="82" s="1"/>
  <c r="D20" i="1" s="1"/>
  <c r="E218" i="81"/>
  <c r="I218" i="81" s="1"/>
  <c r="I221" i="81" s="1"/>
  <c r="I172" i="81" s="1"/>
  <c r="C18" i="1" s="1"/>
  <c r="I220" i="78"/>
  <c r="I172" i="78" s="1"/>
  <c r="I175" i="78" s="1"/>
  <c r="D13" i="1" s="1"/>
  <c r="I218" i="77"/>
  <c r="E217" i="77"/>
  <c r="I217" i="77" s="1"/>
  <c r="I221" i="80"/>
  <c r="I172" i="80" s="1"/>
  <c r="C17" i="1" s="1"/>
  <c r="I220" i="79"/>
  <c r="I172" i="79" s="1"/>
  <c r="C14" i="1" s="1"/>
  <c r="I153" i="10"/>
  <c r="I154" i="10" s="1"/>
  <c r="D16" i="1" s="1"/>
  <c r="C20" i="1" l="1"/>
  <c r="I175" i="79"/>
  <c r="D14" i="1" s="1"/>
  <c r="I220" i="77"/>
  <c r="I172" i="77" s="1"/>
  <c r="I175" i="77" s="1"/>
  <c r="D12" i="1" s="1"/>
  <c r="C13" i="1"/>
  <c r="I175" i="81"/>
  <c r="D18" i="1" s="1"/>
  <c r="I175" i="80"/>
  <c r="D17" i="1" s="1"/>
  <c r="C12" i="1" l="1"/>
  <c r="I136" i="43"/>
  <c r="I146" i="43" s="1"/>
  <c r="I147" i="43" s="1"/>
  <c r="F151" i="43" l="1"/>
  <c r="I151" i="43" s="1"/>
  <c r="C47" i="1" s="1"/>
  <c r="C151" i="43"/>
  <c r="I153" i="43" l="1"/>
  <c r="I154" i="43" s="1"/>
  <c r="D47" i="1" s="1"/>
  <c r="I174" i="9" l="1"/>
  <c r="I120" i="9"/>
  <c r="I144" i="9" s="1"/>
  <c r="I145" i="9" s="1"/>
  <c r="I124" i="9" l="1"/>
  <c r="I125" i="9" l="1"/>
  <c r="I135" i="9" s="1"/>
  <c r="I131" i="9" l="1"/>
  <c r="I129" i="9"/>
  <c r="I133" i="9"/>
  <c r="I128" i="9"/>
  <c r="I130" i="9"/>
  <c r="I136" i="9" l="1"/>
  <c r="I146" i="9" s="1"/>
  <c r="I147" i="9" s="1"/>
  <c r="F151" i="9" l="1"/>
  <c r="I151" i="9" s="1"/>
  <c r="I154" i="9" s="1"/>
  <c r="C151" i="9"/>
  <c r="G201" i="9" l="1"/>
  <c r="H201" i="9" s="1"/>
  <c r="H203" i="9" s="1"/>
  <c r="E216" i="9" s="1"/>
  <c r="I216" i="9" s="1"/>
  <c r="F195" i="9"/>
  <c r="H195" i="9" s="1"/>
  <c r="H197" i="9" s="1"/>
  <c r="E215" i="9" s="1"/>
  <c r="I215" i="9" s="1"/>
  <c r="F189" i="9"/>
  <c r="H189" i="9" s="1"/>
  <c r="H191" i="9" s="1"/>
  <c r="E214" i="9" s="1"/>
  <c r="I214" i="9" s="1"/>
  <c r="G207" i="9"/>
  <c r="H207" i="9" s="1"/>
  <c r="H209" i="9" s="1"/>
  <c r="F183" i="9"/>
  <c r="H183" i="9" s="1"/>
  <c r="H185" i="9" s="1"/>
  <c r="E213" i="9" s="1"/>
  <c r="I213" i="9" s="1"/>
  <c r="I153" i="9"/>
  <c r="I218" i="9" l="1"/>
  <c r="E217" i="9"/>
  <c r="I217" i="9" s="1"/>
  <c r="I220" i="9" l="1"/>
  <c r="I172" i="9" s="1"/>
  <c r="I175" i="9" s="1"/>
  <c r="D15" i="1" s="1"/>
  <c r="D48" i="1" l="1"/>
  <c r="D52" i="1" s="1"/>
  <c r="D95" i="1" s="1"/>
  <c r="C15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<sst xmlns="http://schemas.openxmlformats.org/spreadsheetml/2006/main" count="13477" uniqueCount="604">
  <si>
    <t>-</t>
  </si>
  <si>
    <t>VALOR (R$)</t>
  </si>
  <si>
    <t>Adicional Noturno</t>
  </si>
  <si>
    <t>%</t>
  </si>
  <si>
    <t>Outros (especificar)</t>
  </si>
  <si>
    <t>Lucro</t>
  </si>
  <si>
    <t xml:space="preserve">Categoria profissional: </t>
  </si>
  <si>
    <t>Data base da categoria (dia/mês/ano)</t>
  </si>
  <si>
    <t>Categoria profissional (vinculada à execução contratual)</t>
  </si>
  <si>
    <t>Salário Nominativo da Categoria Profissional</t>
  </si>
  <si>
    <t>Tipo de serviço (mesmo serviço com características distintas)</t>
  </si>
  <si>
    <t>A</t>
  </si>
  <si>
    <t>B</t>
  </si>
  <si>
    <t>C</t>
  </si>
  <si>
    <t>D</t>
  </si>
  <si>
    <t>E</t>
  </si>
  <si>
    <t>F</t>
  </si>
  <si>
    <t>G</t>
  </si>
  <si>
    <t>H</t>
  </si>
  <si>
    <t>COMPOSIÇÃO DA REMUNERAÇÃO</t>
  </si>
  <si>
    <t>INSUMOS DIVERSOS</t>
  </si>
  <si>
    <t>Materiais</t>
  </si>
  <si>
    <t>TOTAL SUBMÓDULO 4.2</t>
  </si>
  <si>
    <t>Afastamento Maternidade</t>
  </si>
  <si>
    <t>TOTAL</t>
  </si>
  <si>
    <t>CUSTOS INDIRETOS, TRIBUTOS E LUCRO</t>
  </si>
  <si>
    <t>4.1</t>
  </si>
  <si>
    <t>4.2</t>
  </si>
  <si>
    <t>Custos Indiretos</t>
  </si>
  <si>
    <t>Mão-de-Obra vinculada à execução contratual (valor por empregado)</t>
  </si>
  <si>
    <t>MÓDULO 1 - COMPOSIÇÃO DA REMUNERAÇÃO</t>
  </si>
  <si>
    <t>VALOR GLOBAL DA PROPOSTA</t>
  </si>
  <si>
    <t>Descrição</t>
  </si>
  <si>
    <t>Salário Base</t>
  </si>
  <si>
    <t>Nº de meses de execução contratual</t>
  </si>
  <si>
    <t>Tipo de Serviço</t>
  </si>
  <si>
    <t>Limpeza</t>
  </si>
  <si>
    <t>Servente</t>
  </si>
  <si>
    <t>TRIBUTOS</t>
  </si>
  <si>
    <t>Ano do Acordo, Convenção ou Dissídio Coletivo</t>
  </si>
  <si>
    <t>Dados para composição dos custos referentes à mão-de-obra</t>
  </si>
  <si>
    <t>Classificação Brasileira de Ocupações (CBO)</t>
  </si>
  <si>
    <t>Adicional Insalubridade</t>
  </si>
  <si>
    <t>Adicional de Hora Noturna Reduzida</t>
  </si>
  <si>
    <t>Adicional de Hora Extra no Feriado Trabalhado</t>
  </si>
  <si>
    <t>MÓDULO 2 – ENCARGOS E BENEFÍCIOS ANUAIS, MENSAIS E DIÁRIOS</t>
  </si>
  <si>
    <t>13º Salário, Férias e Adicional de Férias</t>
  </si>
  <si>
    <t>GPS, FGTS e Outras Contribuições</t>
  </si>
  <si>
    <t>SESC ou SESI</t>
  </si>
  <si>
    <t xml:space="preserve">INSS </t>
  </si>
  <si>
    <t xml:space="preserve">Salário Educação </t>
  </si>
  <si>
    <t xml:space="preserve">SENAI - SENAC </t>
  </si>
  <si>
    <t xml:space="preserve">SEBRAE </t>
  </si>
  <si>
    <t xml:space="preserve">INCRA </t>
  </si>
  <si>
    <t xml:space="preserve">FGTS </t>
  </si>
  <si>
    <t>Submódulo 2.3 - Benefícios Mensais e Diários</t>
  </si>
  <si>
    <t xml:space="preserve">Transporte </t>
  </si>
  <si>
    <t xml:space="preserve">Auxílio-Refeição/Alimentação </t>
  </si>
  <si>
    <t xml:space="preserve">Assistência Médica e Familiar </t>
  </si>
  <si>
    <t>QUADRO-RESUMO DO MÓDULO 2 - ENCARGOS, BENEFÍCIOS ANUAIS, MENSAIS E DIÁRIOS</t>
  </si>
  <si>
    <t>2.1</t>
  </si>
  <si>
    <t>2.2</t>
  </si>
  <si>
    <t>2.3</t>
  </si>
  <si>
    <t>Benefícios Mensais e Diários</t>
  </si>
  <si>
    <t>MÓDULO 3 – PROVISÃO PARA RESCISÃO</t>
  </si>
  <si>
    <t>PROVISÃO PARA RESCISÃO</t>
  </si>
  <si>
    <t xml:space="preserve">Aviso Prévio Trabalhado </t>
  </si>
  <si>
    <t>Incidência do FGTS sobre Aviso Prévio Indenizado</t>
  </si>
  <si>
    <t>Aviso Prévio Indenizado</t>
  </si>
  <si>
    <t>Multa do FGTS e Contribuição Social sobre o Aviso Prévio Indenizado</t>
  </si>
  <si>
    <t>Incidência dos encargos do submódulo 2.2 sobre Aviso Prévio Trabalhado</t>
  </si>
  <si>
    <t xml:space="preserve">Multa do FGTS e Contribuição Social sobre o Aviso Prévio Trabalhado. </t>
  </si>
  <si>
    <t>MÓDULO 4 – CUSTO DE REPOSIÇÃO DO PROFISSIONAL AUSENTE</t>
  </si>
  <si>
    <t>Submódulo 4.1 - Ausências Legais</t>
  </si>
  <si>
    <t>Ausências Legais</t>
  </si>
  <si>
    <t>Licença Paternidade</t>
  </si>
  <si>
    <t>Submódulo 4.2 - Intrajornada</t>
  </si>
  <si>
    <t>Intervalo para Repouso ou Alimentação</t>
  </si>
  <si>
    <t>QUADRO-RESUMO DO MÓDULO 4 - CUSTO DE REPOSIÇÃO DO PROFISSIONAL AUSENTE</t>
  </si>
  <si>
    <t>Intrajornada</t>
  </si>
  <si>
    <t>MÓDULO 5 – INSUMOS DIVERSOS</t>
  </si>
  <si>
    <t xml:space="preserve">Uniformes </t>
  </si>
  <si>
    <t>TOTAL DO MÓDULO 5</t>
  </si>
  <si>
    <t>MÓDULO 6 – CUSTOS INDIRETOS, TRIBUTOS E LUCRO</t>
  </si>
  <si>
    <t>Subtotal (A + B + C + D + E)</t>
  </si>
  <si>
    <t>Data de apresentação da proposta (dia/mês/ano):</t>
  </si>
  <si>
    <t xml:space="preserve">1. MÓDULOS </t>
  </si>
  <si>
    <t>2. QUADRO RESUMO DO CUSTO POR EMPREGADO</t>
  </si>
  <si>
    <t>3. QUADRO RESUMO DO VALOR MENSAL DOS SERVIÇOS</t>
  </si>
  <si>
    <t>I</t>
  </si>
  <si>
    <t>TIPO DO SERVIÇO (A)</t>
  </si>
  <si>
    <t>Valor Proposto por empregado (B)</t>
  </si>
  <si>
    <t>Valor proposto por posto (D) = (B X C)</t>
  </si>
  <si>
    <t>Quantidade de Postos (E)</t>
  </si>
  <si>
    <t>Valor Mensal Total do Serviço (F) = (D X E)</t>
  </si>
  <si>
    <t>Valor R$</t>
  </si>
  <si>
    <t>4. QUADRO DEMONSTRATIVO DO VALOR GLOBAL DA PROPOSTA</t>
  </si>
  <si>
    <t>VALOR MENSAL DO SERVIÇO</t>
  </si>
  <si>
    <t>Mão de Obra</t>
  </si>
  <si>
    <t xml:space="preserve"> 2.2 </t>
  </si>
  <si>
    <t>Submódulo 2.2 - Encargos Previdenciários (GPS), Fundo de Garantia por Tempo de Serviço (FGTS) e outras contribuições</t>
  </si>
  <si>
    <t xml:space="preserve">TOTAL </t>
  </si>
  <si>
    <t xml:space="preserve"> Ausências Legais</t>
  </si>
  <si>
    <t xml:space="preserve"> 4.2</t>
  </si>
  <si>
    <t xml:space="preserve"> Intrajornada</t>
  </si>
  <si>
    <t>Custo de Reposição do Profissional Ausente</t>
  </si>
  <si>
    <t>DESCRIÇÃO</t>
  </si>
  <si>
    <t>SUBTOTAL (R$)</t>
  </si>
  <si>
    <t>5. COMPLEMENTO DOS SERVIÇOS DE LIMPEZA E CONSERVAÇÃO</t>
  </si>
  <si>
    <t>PREÇO MENSAL UNITÁRIO POR M² (metro quadrado)</t>
  </si>
  <si>
    <t>MÃO DE OBRA</t>
  </si>
  <si>
    <t>(1)   PRODUTIVIDADE  (1/M²)</t>
  </si>
  <si>
    <t>(2) PREÇO HOMEM-MÊS (R$)</t>
  </si>
  <si>
    <t>(1X2) SUBTOTAL  (R$/M²)</t>
  </si>
  <si>
    <t>SERVENTE</t>
  </si>
  <si>
    <t>7. VALOR MENSAL DOS SERVIÇOS</t>
  </si>
  <si>
    <t>PREÇO MENSAL UNITÁRIO (R$/M²)</t>
  </si>
  <si>
    <t>TIPO DE ÁREA</t>
  </si>
  <si>
    <t>ÁREA (M²)</t>
  </si>
  <si>
    <t>(1)
PRODUTIVIDADE
(1/M²)</t>
  </si>
  <si>
    <t>(2)
FREQÜÊNCIA NO MÊS (HORAS)</t>
  </si>
  <si>
    <t>3)
JORNADA DE TRABALHO NO MÊS (HORAS)</t>
  </si>
  <si>
    <t>(4)
(1x2x3)
Ki****</t>
  </si>
  <si>
    <t>(5)
PREÇO HOMEM-MÊS
(R$)</t>
  </si>
  <si>
    <t>(4x5)
SUB-
TOTAL
(R$/M²)</t>
  </si>
  <si>
    <t>13º (Décimo terceiro) Salário, Férias e Adicional de Férias</t>
  </si>
  <si>
    <t>Submódulo 2.1 - 13º (décimo terceiro) Salário, Férias e Adicional de Férias</t>
  </si>
  <si>
    <t>Encargos, Benefícios Anuais, Mensais e Diários</t>
  </si>
  <si>
    <t>DISCRIMINAÇÃO DOS SERVIÇOS (DADOS REFERENTES À CONTRATAÇÃO)</t>
  </si>
  <si>
    <t>IDENTIFICAÇÃO DO SERVIÇO</t>
  </si>
  <si>
    <t>Quantidade total a contratar (Em função da unidade de medida)</t>
  </si>
  <si>
    <t xml:space="preserve">CÁLCULO VALE TRANSPORTE </t>
  </si>
  <si>
    <t xml:space="preserve">CÁLCULO VALE ALIMENTAÇÃO  CONFORME CCT </t>
  </si>
  <si>
    <t>VALOR</t>
  </si>
  <si>
    <t>QTDE/MÊS</t>
  </si>
  <si>
    <t>BENEFÍCIO VALE TRANSPORTE</t>
  </si>
  <si>
    <t>BENEFÍCIO VALE ALIMENTAÇÃO</t>
  </si>
  <si>
    <t>VALOR UNIT.</t>
  </si>
  <si>
    <t>Férias e Adicional de Férias</t>
  </si>
  <si>
    <t xml:space="preserve">Férias </t>
  </si>
  <si>
    <t xml:space="preserve"> POSTO 40HS SEMANAIS - 22 DIAS TRABALHADOS/MÊS</t>
  </si>
  <si>
    <t xml:space="preserve">C.2 Tributos Estaduais (especificar) </t>
  </si>
  <si>
    <t>QTDE/FUNC.</t>
  </si>
  <si>
    <t>Assistência  Social</t>
  </si>
  <si>
    <t>Treinamento/Capacitação/Reciclagem</t>
  </si>
  <si>
    <t>Assitência Social Familiar</t>
  </si>
  <si>
    <t>Fundo de Formação Profissional</t>
  </si>
  <si>
    <t>Medicina do Trabalho</t>
  </si>
  <si>
    <t>J</t>
  </si>
  <si>
    <t>Seguro de Vida</t>
  </si>
  <si>
    <t xml:space="preserve">C.1 Tributos Federais </t>
  </si>
  <si>
    <t xml:space="preserve">outros especificar </t>
  </si>
  <si>
    <t>C.3 Tributos Municipais</t>
  </si>
  <si>
    <t>ISSQN (especificar)</t>
  </si>
  <si>
    <r>
      <t>13 (Décimo-terceiro) salário</t>
    </r>
    <r>
      <rPr>
        <sz val="11"/>
        <color indexed="10"/>
        <rFont val="Times New Roman"/>
        <family val="1"/>
      </rPr>
      <t xml:space="preserve"> </t>
    </r>
  </si>
  <si>
    <r>
      <t>Ausência por Acidente de Trabalho</t>
    </r>
    <r>
      <rPr>
        <sz val="11"/>
        <color indexed="10"/>
        <rFont val="Times New Roman"/>
        <family val="1"/>
      </rPr>
      <t xml:space="preserve"> </t>
    </r>
  </si>
  <si>
    <t>VALOR TOTAL MENSAL POR EMPREGADO</t>
  </si>
  <si>
    <t>UNIFORMES</t>
  </si>
  <si>
    <t>Item</t>
  </si>
  <si>
    <t>Peça</t>
  </si>
  <si>
    <t>Qtde. Anual</t>
  </si>
  <si>
    <t>Valor Anual/ Empregado (R$)</t>
  </si>
  <si>
    <t>Valor Mensal/ Empregado (R$)</t>
  </si>
  <si>
    <t>Calça</t>
  </si>
  <si>
    <t>camisete</t>
  </si>
  <si>
    <t>blusa</t>
  </si>
  <si>
    <t>meia</t>
  </si>
  <si>
    <t>sapato</t>
  </si>
  <si>
    <t>sapato na cor preta</t>
  </si>
  <si>
    <t>TOTAL (R$)</t>
  </si>
  <si>
    <t>Valor Unitário (R$)</t>
  </si>
  <si>
    <t>camisa</t>
  </si>
  <si>
    <t>blazer</t>
  </si>
  <si>
    <t>blazer na cor preta</t>
  </si>
  <si>
    <t>cinto</t>
  </si>
  <si>
    <t>cinto em couro na cor preta</t>
  </si>
  <si>
    <t xml:space="preserve">SERVIÇOS DE LIMPEZA E CONSERVAÇÃO </t>
  </si>
  <si>
    <t>avental</t>
  </si>
  <si>
    <t>meias 3/4 na cor preta</t>
  </si>
  <si>
    <t>LOCAIS</t>
  </si>
  <si>
    <t>AMBIENTE INTERNO</t>
  </si>
  <si>
    <t>AMBIENTE EXTERNO (m²)</t>
  </si>
  <si>
    <t>TIPOS DE PISO INTERNO (m²)</t>
  </si>
  <si>
    <t>ESQUADRIAS E PORTAS</t>
  </si>
  <si>
    <t>BANHEIRO</t>
  </si>
  <si>
    <t>COPA E SIMILARES (m²)</t>
  </si>
  <si>
    <t>AUDITÓRIO (m²)</t>
  </si>
  <si>
    <t>DEMAIS INSTALAÇÕES (m²)</t>
  </si>
  <si>
    <t>CIMENTADO e/ou ASFALTO</t>
  </si>
  <si>
    <t>CERÂMICA /ARDÓSIA / GRANITO</t>
  </si>
  <si>
    <t>PAVER E/OU PARALELEPIPEDO                   (exceto calçadas)</t>
  </si>
  <si>
    <t>JARDIM e/ou TERRA (exceto talude)</t>
  </si>
  <si>
    <t>ALTA RESISTÊNCIA (GRANITINA)</t>
  </si>
  <si>
    <t>ARDÓSIA</t>
  </si>
  <si>
    <t>CARPETE</t>
  </si>
  <si>
    <t>CARPETE SOB PISO ELEVADO</t>
  </si>
  <si>
    <t>CERÂMICO</t>
  </si>
  <si>
    <t>CIMENTO RÚSTICO</t>
  </si>
  <si>
    <t>GRANITO</t>
  </si>
  <si>
    <t>MÁRMORE</t>
  </si>
  <si>
    <t>VINÍLICO EM MANTA (PAVIFLOOR)</t>
  </si>
  <si>
    <t>VINÍLICO EM PLACA (PAVIFLEX)</t>
  </si>
  <si>
    <t>LAMINADO MADEIRA (DURAFLOOR)</t>
  </si>
  <si>
    <t>ASSOALHO EM MADEIRA</t>
  </si>
  <si>
    <t>TACO EM MADEIRA</t>
  </si>
  <si>
    <t>FACE INTERNA</t>
  </si>
  <si>
    <t>FACE EXTERNA</t>
  </si>
  <si>
    <t>PVC</t>
  </si>
  <si>
    <t>ALUMÍNIO</t>
  </si>
  <si>
    <t>MADEIRA</t>
  </si>
  <si>
    <t>FERRO</t>
  </si>
  <si>
    <t>QUANTIDADE</t>
  </si>
  <si>
    <t>M²</t>
  </si>
  <si>
    <t>SEDE/REGIONAIS</t>
  </si>
  <si>
    <t>APUCARANA</t>
  </si>
  <si>
    <t>X</t>
  </si>
  <si>
    <t>CASCAVEL</t>
  </si>
  <si>
    <t>GUARAPUAVA</t>
  </si>
  <si>
    <t>LONDRINA</t>
  </si>
  <si>
    <t>MARINGÁ</t>
  </si>
  <si>
    <t>PATO BRANCO</t>
  </si>
  <si>
    <t>PONTA GROSSA</t>
  </si>
  <si>
    <t>INSPETORIAS/POSTOS</t>
  </si>
  <si>
    <t xml:space="preserve">ARAPONGAS </t>
  </si>
  <si>
    <t>BANDEIRANTES</t>
  </si>
  <si>
    <t>CAMPO LARGO</t>
  </si>
  <si>
    <t>CAMPO MOURÃO</t>
  </si>
  <si>
    <t>CASTRO</t>
  </si>
  <si>
    <t>CIANORTE</t>
  </si>
  <si>
    <t>CORNÉLIO PROCÓPIO</t>
  </si>
  <si>
    <t>FOZ DO IGUAÇU</t>
  </si>
  <si>
    <t>FRANCISCO BELTRÃO</t>
  </si>
  <si>
    <t>IBAITI</t>
  </si>
  <si>
    <t>IRATI</t>
  </si>
  <si>
    <t>IVAIPORÃ</t>
  </si>
  <si>
    <t>JACAREZINHO</t>
  </si>
  <si>
    <t>MARECHAL CÂNDIDO RONDON</t>
  </si>
  <si>
    <t xml:space="preserve">MEDIANEIRA </t>
  </si>
  <si>
    <t>PALMAS</t>
  </si>
  <si>
    <t>PARANAGUÁ</t>
  </si>
  <si>
    <t>PARANAVAÍ</t>
  </si>
  <si>
    <t>REALEZA</t>
  </si>
  <si>
    <t>RIO NEGRO</t>
  </si>
  <si>
    <t>SANTO ANTONIO DA PLATINA</t>
  </si>
  <si>
    <t>SÃO JOSÉ DOS PINHAIS</t>
  </si>
  <si>
    <t>TELÊMACO BORBA</t>
  </si>
  <si>
    <t>TOLEDO</t>
  </si>
  <si>
    <t>UMUARAMA</t>
  </si>
  <si>
    <t>UNIÃO DA VITÓRIA</t>
  </si>
  <si>
    <t>Água sanitária</t>
  </si>
  <si>
    <t>Álcool</t>
  </si>
  <si>
    <t>Desinfetante</t>
  </si>
  <si>
    <t>Detergente</t>
  </si>
  <si>
    <t>Esponja dupla face</t>
  </si>
  <si>
    <t>Flanela</t>
  </si>
  <si>
    <t>Limpador multiuso</t>
  </si>
  <si>
    <t>Pano multiuso</t>
  </si>
  <si>
    <t>Papel higiênico</t>
  </si>
  <si>
    <t>Sabão em barra</t>
  </si>
  <si>
    <t>Sabão em pó</t>
  </si>
  <si>
    <t>Pano de chão</t>
  </si>
  <si>
    <t>Saponáceo</t>
  </si>
  <si>
    <t>Rodo</t>
  </si>
  <si>
    <t>Pá para lixo</t>
  </si>
  <si>
    <t>Detergente sanitário tipo gel adesivo</t>
  </si>
  <si>
    <t>Refil detergente sanitário gel adesivo</t>
  </si>
  <si>
    <t>Luva em látex</t>
  </si>
  <si>
    <t>Saco para lixo 150 litros</t>
  </si>
  <si>
    <t>Saco para lixo 100 litros</t>
  </si>
  <si>
    <t>Saco para lixo 60 litros</t>
  </si>
  <si>
    <t>Saco para lixo 40 litros</t>
  </si>
  <si>
    <t>Saco para lixo 20 litros</t>
  </si>
  <si>
    <t>Refil sabonete líquido</t>
  </si>
  <si>
    <t>REGIONAIS</t>
  </si>
  <si>
    <t xml:space="preserve">CASCAVEL </t>
  </si>
  <si>
    <t>ARAPONGAS</t>
  </si>
  <si>
    <t xml:space="preserve">IRATI </t>
  </si>
  <si>
    <t xml:space="preserve">IVAIPORÃ </t>
  </si>
  <si>
    <t xml:space="preserve">JACAREZINHO </t>
  </si>
  <si>
    <t>Unidade</t>
  </si>
  <si>
    <t>Quant. Anual</t>
  </si>
  <si>
    <t>Valor Total Anual (R$)</t>
  </si>
  <si>
    <t>Valor Total Mensal (R$)</t>
  </si>
  <si>
    <t>Máscara de proteção respiratória com filtro de carvão ativado, para uso com produtos químicos</t>
  </si>
  <si>
    <t>Unid.</t>
  </si>
  <si>
    <t>Máscara descartável (respirador) p/poeiras e névoas tóxicas.</t>
  </si>
  <si>
    <t>Óculos de proteção lente incolor em policarbonato, antiembaçante e antirrisco.</t>
  </si>
  <si>
    <t>Quant.</t>
  </si>
  <si>
    <t>Vassoura de palha natural</t>
  </si>
  <si>
    <t>Escova sanitária</t>
  </si>
  <si>
    <t>Refil álcool em gel</t>
  </si>
  <si>
    <t>LIMPEZA E CONSERVAÇÃO</t>
  </si>
  <si>
    <t>Limpeza e conservação</t>
  </si>
  <si>
    <t>Qtde. de empregado por posto (C )</t>
  </si>
  <si>
    <t>5143-20</t>
  </si>
  <si>
    <t>Outros (especificar) Benefício nascimento de filho</t>
  </si>
  <si>
    <t>Outros (especificar) Benefício empregado que não cometer falta</t>
  </si>
  <si>
    <t>TOTAL (REGIONAIS E SEDE)</t>
  </si>
  <si>
    <t>Materiais (valor estimado mensal)</t>
  </si>
  <si>
    <t>Total</t>
  </si>
  <si>
    <t>Unidade de Medida (m2)</t>
  </si>
  <si>
    <t>PLANILHA DE CUSTOS E FORMAÇÃO DE PREÇOS</t>
  </si>
  <si>
    <t>K</t>
  </si>
  <si>
    <t>L</t>
  </si>
  <si>
    <t xml:space="preserve">Outros (especificar) </t>
  </si>
  <si>
    <t>Quadro Resumo - Vale Transporte e Alimentação</t>
  </si>
  <si>
    <t>Total Mensal</t>
  </si>
  <si>
    <t>Total do contrato</t>
  </si>
  <si>
    <t>Equipamentos (EPIs e EPCs)</t>
  </si>
  <si>
    <t>Benefício nascimento de filho</t>
  </si>
  <si>
    <t>Benefício empregado que não cometer falta</t>
  </si>
  <si>
    <t>CURITIBA (SEDE)</t>
  </si>
  <si>
    <t>Medicina do Trabalho (excluir)</t>
  </si>
  <si>
    <t>Gratificação de função</t>
  </si>
  <si>
    <t>Gratificação de função)</t>
  </si>
  <si>
    <t xml:space="preserve">Medicina do Trabalho </t>
  </si>
  <si>
    <t xml:space="preserve"> POSTO 20HS SEMANAIS - 22 DIAS TRABALHADOS/MÊS</t>
  </si>
  <si>
    <t xml:space="preserve"> POSTO 09HS SEMANAIS - 13 DIAS TRABALHADOS/MÊS</t>
  </si>
  <si>
    <r>
      <t xml:space="preserve">Município/UF: </t>
    </r>
    <r>
      <rPr>
        <b/>
        <sz val="11"/>
        <rFont val="Times New Roman"/>
        <family val="1"/>
      </rPr>
      <t>UNIÃO DA VITÓRIA/PR</t>
    </r>
  </si>
  <si>
    <r>
      <t xml:space="preserve">Município/UF: </t>
    </r>
    <r>
      <rPr>
        <b/>
        <sz val="11"/>
        <rFont val="Times New Roman"/>
        <family val="1"/>
      </rPr>
      <t>UMUARAMA/PR</t>
    </r>
  </si>
  <si>
    <r>
      <t xml:space="preserve">Município/UF: </t>
    </r>
    <r>
      <rPr>
        <b/>
        <sz val="11"/>
        <rFont val="Times New Roman"/>
        <family val="1"/>
      </rPr>
      <t>TOLEDO/PR</t>
    </r>
  </si>
  <si>
    <r>
      <t xml:space="preserve">Município/UF: </t>
    </r>
    <r>
      <rPr>
        <b/>
        <sz val="11"/>
        <rFont val="Times New Roman"/>
        <family val="1"/>
      </rPr>
      <t>TELÊMACO BORBA/PR</t>
    </r>
  </si>
  <si>
    <r>
      <t xml:space="preserve">Município/UF: </t>
    </r>
    <r>
      <rPr>
        <b/>
        <sz val="11"/>
        <rFont val="Times New Roman"/>
        <family val="1"/>
      </rPr>
      <t>SÃO JOSÉ DOS PINHAIS/PR</t>
    </r>
  </si>
  <si>
    <r>
      <t xml:space="preserve">Município/UF: </t>
    </r>
    <r>
      <rPr>
        <b/>
        <sz val="11"/>
        <rFont val="Times New Roman"/>
        <family val="1"/>
      </rPr>
      <t>SANTO ANTONIO DA PLATINA/PR</t>
    </r>
  </si>
  <si>
    <r>
      <t xml:space="preserve">Município/UF: </t>
    </r>
    <r>
      <rPr>
        <b/>
        <sz val="11"/>
        <rFont val="Times New Roman"/>
        <family val="1"/>
      </rPr>
      <t>RIO NEGRO/PR</t>
    </r>
  </si>
  <si>
    <r>
      <t xml:space="preserve">Município/UF: </t>
    </r>
    <r>
      <rPr>
        <b/>
        <sz val="11"/>
        <rFont val="Times New Roman"/>
        <family val="1"/>
      </rPr>
      <t>REALEZA/PR</t>
    </r>
  </si>
  <si>
    <r>
      <t xml:space="preserve">Município/UF: </t>
    </r>
    <r>
      <rPr>
        <b/>
        <sz val="11"/>
        <rFont val="Times New Roman"/>
        <family val="1"/>
      </rPr>
      <t>PARANAVAÍ/PR</t>
    </r>
  </si>
  <si>
    <r>
      <t xml:space="preserve">Município/UF: </t>
    </r>
    <r>
      <rPr>
        <b/>
        <sz val="11"/>
        <rFont val="Times New Roman"/>
        <family val="1"/>
      </rPr>
      <t>PARANAGUÁ/PR</t>
    </r>
  </si>
  <si>
    <r>
      <t xml:space="preserve">Município/UF: </t>
    </r>
    <r>
      <rPr>
        <b/>
        <sz val="11"/>
        <rFont val="Times New Roman"/>
        <family val="1"/>
      </rPr>
      <t>PALMAS/PR</t>
    </r>
  </si>
  <si>
    <r>
      <t xml:space="preserve">Município/UF: </t>
    </r>
    <r>
      <rPr>
        <b/>
        <sz val="11"/>
        <rFont val="Times New Roman"/>
        <family val="1"/>
      </rPr>
      <t>MEDIANEIRA/PR</t>
    </r>
  </si>
  <si>
    <r>
      <t xml:space="preserve">Município/UF: </t>
    </r>
    <r>
      <rPr>
        <b/>
        <sz val="11"/>
        <rFont val="Times New Roman"/>
        <family val="1"/>
      </rPr>
      <t>MARECHAL CÂNDIDO RONDON/PR</t>
    </r>
  </si>
  <si>
    <r>
      <t xml:space="preserve">Município/UF: </t>
    </r>
    <r>
      <rPr>
        <b/>
        <sz val="11"/>
        <rFont val="Times New Roman"/>
        <family val="1"/>
      </rPr>
      <t>JACAREZINHO/PR</t>
    </r>
  </si>
  <si>
    <r>
      <t>Município/UF:</t>
    </r>
    <r>
      <rPr>
        <b/>
        <sz val="11"/>
        <rFont val="Times New Roman"/>
        <family val="1"/>
      </rPr>
      <t xml:space="preserve"> IVAIPORÃ/PR</t>
    </r>
  </si>
  <si>
    <r>
      <t>Município/UF:</t>
    </r>
    <r>
      <rPr>
        <b/>
        <sz val="11"/>
        <rFont val="Times New Roman"/>
        <family val="1"/>
      </rPr>
      <t xml:space="preserve"> IRATI/PR</t>
    </r>
  </si>
  <si>
    <r>
      <t xml:space="preserve">Município/UF: </t>
    </r>
    <r>
      <rPr>
        <b/>
        <sz val="11"/>
        <rFont val="Times New Roman"/>
        <family val="1"/>
      </rPr>
      <t>IBAITI/PR</t>
    </r>
  </si>
  <si>
    <r>
      <t xml:space="preserve">Município/UF: </t>
    </r>
    <r>
      <rPr>
        <b/>
        <sz val="11"/>
        <rFont val="Times New Roman"/>
        <family val="1"/>
      </rPr>
      <t>FRANCISCO BELTRÃO/PR</t>
    </r>
  </si>
  <si>
    <r>
      <t xml:space="preserve">Município/UF: </t>
    </r>
    <r>
      <rPr>
        <b/>
        <sz val="11"/>
        <rFont val="Times New Roman"/>
        <family val="1"/>
      </rPr>
      <t>FOZ DO IGUAÇU/PR</t>
    </r>
  </si>
  <si>
    <r>
      <t xml:space="preserve">Município/UF: </t>
    </r>
    <r>
      <rPr>
        <b/>
        <sz val="11"/>
        <rFont val="Times New Roman"/>
        <family val="1"/>
      </rPr>
      <t>CORNÉLIO PROCÓPIO/PR</t>
    </r>
  </si>
  <si>
    <r>
      <t xml:space="preserve">Município/UF: </t>
    </r>
    <r>
      <rPr>
        <b/>
        <sz val="11"/>
        <rFont val="Times New Roman"/>
        <family val="1"/>
      </rPr>
      <t>CIANORTE/PR</t>
    </r>
  </si>
  <si>
    <r>
      <t xml:space="preserve">Município/UF: </t>
    </r>
    <r>
      <rPr>
        <b/>
        <sz val="11"/>
        <rFont val="Times New Roman"/>
        <family val="1"/>
      </rPr>
      <t>CASTRO/PR</t>
    </r>
  </si>
  <si>
    <r>
      <t xml:space="preserve">Município/UF: </t>
    </r>
    <r>
      <rPr>
        <b/>
        <sz val="11"/>
        <rFont val="Times New Roman"/>
        <family val="1"/>
      </rPr>
      <t>CAMPO MOURÃO/PR</t>
    </r>
  </si>
  <si>
    <r>
      <t>Município/UF:</t>
    </r>
    <r>
      <rPr>
        <b/>
        <sz val="11"/>
        <rFont val="Times New Roman"/>
        <family val="1"/>
      </rPr>
      <t xml:space="preserve"> CAMPO LARGO/PR</t>
    </r>
  </si>
  <si>
    <r>
      <t xml:space="preserve">Município/UF: </t>
    </r>
    <r>
      <rPr>
        <b/>
        <sz val="11"/>
        <rFont val="Times New Roman"/>
        <family val="1"/>
      </rPr>
      <t>BANDEIRANTES/PR</t>
    </r>
  </si>
  <si>
    <r>
      <t xml:space="preserve">Município/UF: </t>
    </r>
    <r>
      <rPr>
        <b/>
        <sz val="11"/>
        <rFont val="Times New Roman"/>
        <family val="1"/>
      </rPr>
      <t>ARAPONGAS/PR</t>
    </r>
  </si>
  <si>
    <r>
      <t xml:space="preserve">Município/UF: </t>
    </r>
    <r>
      <rPr>
        <b/>
        <sz val="11"/>
        <rFont val="Times New Roman"/>
        <family val="1"/>
      </rPr>
      <t>PONTA GROSSA/PR</t>
    </r>
  </si>
  <si>
    <r>
      <t xml:space="preserve">Município/UF: </t>
    </r>
    <r>
      <rPr>
        <b/>
        <sz val="11"/>
        <rFont val="Times New Roman"/>
        <family val="1"/>
      </rPr>
      <t>LONDRINA/PR</t>
    </r>
  </si>
  <si>
    <r>
      <t xml:space="preserve">Município/UF: </t>
    </r>
    <r>
      <rPr>
        <b/>
        <sz val="11"/>
        <rFont val="Times New Roman"/>
        <family val="1"/>
      </rPr>
      <t>APUCARANA/PR</t>
    </r>
  </si>
  <si>
    <r>
      <t xml:space="preserve">Município/UF: </t>
    </r>
    <r>
      <rPr>
        <b/>
        <sz val="11"/>
        <rFont val="Times New Roman"/>
        <family val="1"/>
      </rPr>
      <t>MARINGÁ/PR</t>
    </r>
  </si>
  <si>
    <r>
      <t xml:space="preserve">Município/UF: </t>
    </r>
    <r>
      <rPr>
        <b/>
        <sz val="11"/>
        <rFont val="Times New Roman"/>
        <family val="1"/>
      </rPr>
      <t>PATO BRANCO/PR</t>
    </r>
  </si>
  <si>
    <r>
      <t xml:space="preserve">Município/UF: </t>
    </r>
    <r>
      <rPr>
        <b/>
        <sz val="11"/>
        <rFont val="Times New Roman"/>
        <family val="1"/>
      </rPr>
      <t>GUARAPUAVA/PR</t>
    </r>
  </si>
  <si>
    <r>
      <t>Município/UF:</t>
    </r>
    <r>
      <rPr>
        <b/>
        <sz val="11"/>
        <rFont val="Times New Roman"/>
        <family val="1"/>
      </rPr>
      <t xml:space="preserve"> CASCAVEL/PR</t>
    </r>
  </si>
  <si>
    <r>
      <t xml:space="preserve">Município/UF: </t>
    </r>
    <r>
      <rPr>
        <b/>
        <sz val="11"/>
        <rFont val="Times New Roman"/>
        <family val="1"/>
      </rPr>
      <t>CURITIBA/PR (REGIONAL CURITIBA)</t>
    </r>
  </si>
  <si>
    <r>
      <t xml:space="preserve">Município/UF: </t>
    </r>
    <r>
      <rPr>
        <b/>
        <sz val="11"/>
        <rFont val="Times New Roman"/>
        <family val="1"/>
      </rPr>
      <t>CURITIBA/PR (SEDE)</t>
    </r>
  </si>
  <si>
    <t>Não se aplica</t>
  </si>
  <si>
    <t>Portaria</t>
  </si>
  <si>
    <t>Motorista</t>
  </si>
  <si>
    <t>Recepção</t>
  </si>
  <si>
    <t>5174-10</t>
  </si>
  <si>
    <t>4221-05</t>
  </si>
  <si>
    <t>Adicional de risco</t>
  </si>
  <si>
    <t xml:space="preserve">Limp. Curitiba - Sede </t>
  </si>
  <si>
    <t>Limp. Curitiba - Reg. Ctba</t>
  </si>
  <si>
    <t>Limp. Guarapuava</t>
  </si>
  <si>
    <t>Limp. Pato Branco</t>
  </si>
  <si>
    <t>Limp. Maringá</t>
  </si>
  <si>
    <t>Limp. Apucarana</t>
  </si>
  <si>
    <t>Limp. Londrina</t>
  </si>
  <si>
    <t>Limp. Ponta Grossa</t>
  </si>
  <si>
    <t>Limp. Arapongas</t>
  </si>
  <si>
    <t>Limp. Bandeirantes</t>
  </si>
  <si>
    <t>Limp. Campo Largo</t>
  </si>
  <si>
    <t>Limp. Campo Mourão</t>
  </si>
  <si>
    <t>Limp. Castro</t>
  </si>
  <si>
    <t>Limp. Cianorte</t>
  </si>
  <si>
    <t>Limp. Cornélio Procópio</t>
  </si>
  <si>
    <t>Limp. Foz do Iguaçu</t>
  </si>
  <si>
    <t>Limp. Francisco Beltrão</t>
  </si>
  <si>
    <t>Limp. Ibaiti</t>
  </si>
  <si>
    <t>Limp. Irati</t>
  </si>
  <si>
    <t>Limp. Ivaiporã</t>
  </si>
  <si>
    <t>Limp. Jacarezinho</t>
  </si>
  <si>
    <t>Limp. Marechal Cândido Rondon</t>
  </si>
  <si>
    <t>Limp. Medianeira</t>
  </si>
  <si>
    <t>Limp. Palmas</t>
  </si>
  <si>
    <t>Limp. Paranaguá</t>
  </si>
  <si>
    <t>Limp. Paranavaí</t>
  </si>
  <si>
    <t>Limp. Realeza</t>
  </si>
  <si>
    <t>Limp. Rio Negro</t>
  </si>
  <si>
    <t>Limp. Santo Antônio da Platina</t>
  </si>
  <si>
    <t>Limp. São José dos Pinhais</t>
  </si>
  <si>
    <t>Limp. Telemaco Borba</t>
  </si>
  <si>
    <t>Limp. Toledo</t>
  </si>
  <si>
    <t>Limp. União da Vitória</t>
  </si>
  <si>
    <t>CURITIBA (REGIONAL CTBA)</t>
  </si>
  <si>
    <t>PREÇO TOTAL (R$)</t>
  </si>
  <si>
    <t>TOTAL ANUAL ESTIMADO POR LOCAL (R$)</t>
  </si>
  <si>
    <t>TOTAL MENSAL ESTIMADO POR LOCAL (R$)</t>
  </si>
  <si>
    <t>MAL. CÂNDIDO RONDON</t>
  </si>
  <si>
    <t>STO. ANTONIO DA PLATINA</t>
  </si>
  <si>
    <t>SERVIÇOS</t>
  </si>
  <si>
    <t>meias na cor preta</t>
  </si>
  <si>
    <r>
      <rPr>
        <b/>
        <sz val="11"/>
        <rFont val="Times New Roman"/>
        <family val="1"/>
      </rPr>
      <t>ÁREA EXTERNA</t>
    </r>
    <r>
      <rPr>
        <sz val="11"/>
        <rFont val="Times New Roman"/>
        <family val="1"/>
      </rPr>
      <t xml:space="preserve"> </t>
    </r>
  </si>
  <si>
    <r>
      <rPr>
        <b/>
        <sz val="11"/>
        <rFont val="Times New Roman"/>
        <family val="1"/>
      </rPr>
      <t>ÁREA INTERNA</t>
    </r>
    <r>
      <rPr>
        <sz val="11"/>
        <rFont val="Times New Roman"/>
        <family val="1"/>
      </rPr>
      <t xml:space="preserve"> </t>
    </r>
  </si>
  <si>
    <t xml:space="preserve">VALOR PROPOSTO POR UNIDADE DE MEDIDA  </t>
  </si>
  <si>
    <t>VALOR GLOBAL DA PROPOSTA (serviços + Materiais limpeza)</t>
  </si>
  <si>
    <t>Cascavel</t>
  </si>
  <si>
    <t>Londrina</t>
  </si>
  <si>
    <t>Maringá</t>
  </si>
  <si>
    <t>Pato Branco</t>
  </si>
  <si>
    <t>Ponta Grossa</t>
  </si>
  <si>
    <t>Apucarana</t>
  </si>
  <si>
    <t>CARACTERÍSTICAS DOS IMÓVEIS</t>
  </si>
  <si>
    <t>Total mensal EPI e EPC</t>
  </si>
  <si>
    <t>PLANILHA DE PREÇOS DE EQUIPAMENTOS DE PROTEÇÃO</t>
  </si>
  <si>
    <t>EPI</t>
  </si>
  <si>
    <t>EPC</t>
  </si>
  <si>
    <t>Placa de piso escorregadio</t>
  </si>
  <si>
    <t>LIMPEZA E CONSERVAÇÃO  - PLANILHA DE MATERIAIS</t>
  </si>
  <si>
    <t>Pregão Eletrônico n.º:</t>
  </si>
  <si>
    <t>Data:</t>
  </si>
  <si>
    <t>Horário:</t>
  </si>
  <si>
    <t>Recepcionista</t>
  </si>
  <si>
    <t xml:space="preserve">PIS </t>
  </si>
  <si>
    <t xml:space="preserve">COFINS </t>
  </si>
  <si>
    <t>COFINS</t>
  </si>
  <si>
    <t>PIS</t>
  </si>
  <si>
    <t>QUANTIDADE DE PESSOAL</t>
  </si>
  <si>
    <t>VALORES (R$)</t>
  </si>
  <si>
    <t>PR</t>
  </si>
  <si>
    <t>Adicional Periculosidade</t>
  </si>
  <si>
    <t>SERVIÇOS DE APOIO</t>
  </si>
  <si>
    <t>Óculos de Segurança</t>
  </si>
  <si>
    <t>Luva de látex anti-derrapante</t>
  </si>
  <si>
    <t>Luva nitrílica</t>
  </si>
  <si>
    <t>Luva de raspa</t>
  </si>
  <si>
    <t>Protetor auricular tipo plug em silicone</t>
  </si>
  <si>
    <t>Respirador Semi-Facial PFF2 Valvulado</t>
  </si>
  <si>
    <t>Cinta Ergonômica</t>
  </si>
  <si>
    <r>
      <t>Município/UF:</t>
    </r>
    <r>
      <rPr>
        <b/>
        <sz val="11"/>
        <rFont val="Times New Roman"/>
        <family val="1"/>
      </rPr>
      <t xml:space="preserve"> CURITIBA/PR (ÁGUA VERDE)</t>
    </r>
  </si>
  <si>
    <t xml:space="preserve"> POSTO 40HS SEMANAIS - 30 DIAS/MÊS</t>
  </si>
  <si>
    <t xml:space="preserve"> POSTO 20HS SEMANAIS - 30 DIAS/MÊS </t>
  </si>
  <si>
    <t>POSTO ÁGUA VERDE</t>
  </si>
  <si>
    <t>Copo plástico 180 ml</t>
  </si>
  <si>
    <t>Copo plástico 50 ml</t>
  </si>
  <si>
    <t>Mexedor plástico</t>
  </si>
  <si>
    <t>Guardanapo de papel</t>
  </si>
  <si>
    <t>Toalha de papel</t>
  </si>
  <si>
    <t>Filtro de papel</t>
  </si>
  <si>
    <t xml:space="preserve">Purificador de ar tipo desodorizador </t>
  </si>
  <si>
    <t>Esponja de lã de aço</t>
  </si>
  <si>
    <t>Suporte Limpa Tudo</t>
  </si>
  <si>
    <t>Fibra para Limpa Tudo</t>
  </si>
  <si>
    <t>TOTAIS MATERIAIS</t>
  </si>
  <si>
    <t>PREÇO UNITÁRIO (R$)</t>
  </si>
  <si>
    <t>Mop</t>
  </si>
  <si>
    <t>Refil para Mop</t>
  </si>
  <si>
    <t xml:space="preserve">calças na cor preta </t>
  </si>
  <si>
    <t xml:space="preserve">camisas manga curta na cor branca </t>
  </si>
  <si>
    <t>camisas manga longa na cor branca</t>
  </si>
  <si>
    <t>camisetas manga curta na cor branca</t>
  </si>
  <si>
    <t>camisetas manga longa na cor branca</t>
  </si>
  <si>
    <t>calças na cor azul marinho</t>
  </si>
  <si>
    <t>blusa para frio na cor azul marinho</t>
  </si>
  <si>
    <t>calçado fechado e com solado antiderrapante na cor preta</t>
  </si>
  <si>
    <t>camisetas manga curta na cor azul marinho</t>
  </si>
  <si>
    <t>calçado</t>
  </si>
  <si>
    <t>camisetas manga longa  na cor azul marinho</t>
  </si>
  <si>
    <t>jaqueta</t>
  </si>
  <si>
    <t xml:space="preserve">Capacete de Segurança </t>
  </si>
  <si>
    <t>TOTAL (m²) - PISO INTERNO</t>
  </si>
  <si>
    <t xml:space="preserve"> TOTAL (m²) AMBIENTE EXTERNO</t>
  </si>
  <si>
    <t xml:space="preserve"> TOTAL (m2)  ÁREA ENVIDRAÇADA</t>
  </si>
  <si>
    <t xml:space="preserve"> TOTAL (m²)  ÁREA ENVIDRAÇADA</t>
  </si>
  <si>
    <t>CURITIBA - SEDE</t>
  </si>
  <si>
    <t>Arapongas</t>
  </si>
  <si>
    <t>Bandeirantes</t>
  </si>
  <si>
    <t>Campo Largo</t>
  </si>
  <si>
    <t>Campo Mourão</t>
  </si>
  <si>
    <t>Castro</t>
  </si>
  <si>
    <t>Cianorte</t>
  </si>
  <si>
    <t>Cornélio Procópio</t>
  </si>
  <si>
    <t>Foz do Iguaçu</t>
  </si>
  <si>
    <t>Francisco Beltrão</t>
  </si>
  <si>
    <t>Ibaiti</t>
  </si>
  <si>
    <t>Ivaiporã</t>
  </si>
  <si>
    <t>Jacarezinho</t>
  </si>
  <si>
    <t>Marechal Cândido Rondon</t>
  </si>
  <si>
    <t>Palmas</t>
  </si>
  <si>
    <t>Paranaguá</t>
  </si>
  <si>
    <t>Realeza</t>
  </si>
  <si>
    <t>Santo Antônio da Platina</t>
  </si>
  <si>
    <t>Toledo</t>
  </si>
  <si>
    <t>Umuarama</t>
  </si>
  <si>
    <t>CURITIBA - REGIONAL</t>
  </si>
  <si>
    <t>Supervisor</t>
  </si>
  <si>
    <t>5143-10</t>
  </si>
  <si>
    <r>
      <t>SAT - GIL/RAT</t>
    </r>
    <r>
      <rPr>
        <sz val="11"/>
        <color rgb="FFFF0000"/>
        <rFont val="Times New Roman"/>
        <family val="1"/>
      </rPr>
      <t xml:space="preserve"> </t>
    </r>
  </si>
  <si>
    <t>Balde 15 litros</t>
  </si>
  <si>
    <t>ÁREA INTERNA (SANITÁRIOS)</t>
  </si>
  <si>
    <t>NÃO SE APLICA</t>
  </si>
  <si>
    <t>ESQUADRIA INTERNA (SEM RISCO)</t>
  </si>
  <si>
    <t>VALOR MENSAL DOS MATERIAIS</t>
  </si>
  <si>
    <t>VI - Área Médico-Hospitalar</t>
  </si>
  <si>
    <t>MATERIAIS (ESTIMATIVO MENSAL)</t>
  </si>
  <si>
    <t>*I - Área Interna</t>
  </si>
  <si>
    <t>*II - Área Interna (Sanitários)</t>
  </si>
  <si>
    <t>*III - Área Externa</t>
  </si>
  <si>
    <t>Outros (especificar) - Plano Odontológico</t>
  </si>
  <si>
    <t>Supervisor Administrativo</t>
  </si>
  <si>
    <t>4101-05</t>
  </si>
  <si>
    <t xml:space="preserve"> POSTO 40HS MENSAIS (08 HORAS POR SEMANA)</t>
  </si>
  <si>
    <t>SUPERVISOR</t>
  </si>
  <si>
    <t xml:space="preserve">Limpeza </t>
  </si>
  <si>
    <t>* O Crea-PR possui 02 (duas) servidoras próprias justificando desta forma a divisão da área para fins de composição de preços</t>
  </si>
  <si>
    <t>*CURITIBA - SEDE</t>
  </si>
  <si>
    <t>Percentual</t>
  </si>
  <si>
    <t>Quant</t>
  </si>
  <si>
    <t>Hora extra período entre 22h00 as 05h00</t>
  </si>
  <si>
    <t>50%+20% Ad Not</t>
  </si>
  <si>
    <t>Trabalho aos domingos e feriados</t>
  </si>
  <si>
    <t>Hora extra período entre 05h00 as 22h00 - Seg. a Sab.</t>
  </si>
  <si>
    <t>Períodos</t>
  </si>
  <si>
    <t>Hora em dobro</t>
  </si>
  <si>
    <t>Não incide</t>
  </si>
  <si>
    <t>DSR (R$)</t>
  </si>
  <si>
    <t>Memória de cálculo (R$)</t>
  </si>
  <si>
    <t>HR (r$)</t>
  </si>
  <si>
    <t>QTDE.</t>
  </si>
  <si>
    <t>VLR. HR</t>
  </si>
  <si>
    <t>* DSR é variável de acordo com o número de domingos e feriados do mês - (para fins de provionamento considerado 5 (cinco) Domigos mensais.</t>
  </si>
  <si>
    <t>*Valores com provisionamento de horas extras (sob demanda)</t>
  </si>
  <si>
    <t>**Limp. Cascavel</t>
  </si>
  <si>
    <t>** Serviços temporários até 02 vezes ao ano</t>
  </si>
  <si>
    <t>SERVIÇO (MENSAL)</t>
  </si>
  <si>
    <t>Limp. Umuarama</t>
  </si>
  <si>
    <t>TOTAL ESTIMADO DO CONTRATO</t>
  </si>
  <si>
    <r>
      <t xml:space="preserve">Protetor auricular tipo </t>
    </r>
    <r>
      <rPr>
        <i/>
        <sz val="11"/>
        <color theme="1"/>
        <rFont val="Arial"/>
        <family val="2"/>
      </rPr>
      <t>plug</t>
    </r>
    <r>
      <rPr>
        <sz val="11"/>
        <color theme="1"/>
        <rFont val="Arial"/>
        <family val="2"/>
      </rPr>
      <t xml:space="preserve"> em silicone</t>
    </r>
  </si>
  <si>
    <r>
      <t>Vassoura em nylon tipo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noviça</t>
    </r>
  </si>
  <si>
    <t xml:space="preserve"> POSTO 44HS SEMANAIS - 22 DIAS TRABALHADOS/MÊS</t>
  </si>
  <si>
    <t>GRATUITO</t>
  </si>
  <si>
    <r>
      <t xml:space="preserve">jaqueta em </t>
    </r>
    <r>
      <rPr>
        <i/>
        <sz val="11"/>
        <color theme="1"/>
        <rFont val="Arial"/>
        <family val="2"/>
      </rPr>
      <t xml:space="preserve">oxford </t>
    </r>
    <r>
      <rPr>
        <sz val="11"/>
        <color theme="1"/>
        <rFont val="Arial"/>
        <family val="2"/>
      </rPr>
      <t>forrada na cor azul marinho</t>
    </r>
  </si>
  <si>
    <t>calçado de segurança na cor preta</t>
  </si>
  <si>
    <t>Auxiliar Manut.</t>
  </si>
  <si>
    <t xml:space="preserve"> POSTO 44HS SEMANAIS - 30 DIAS/MÊS</t>
  </si>
  <si>
    <t>Irati</t>
  </si>
  <si>
    <t>Guarapuava</t>
  </si>
  <si>
    <t>Medianeira</t>
  </si>
  <si>
    <t>Rio Negro</t>
  </si>
  <si>
    <t>São José dos Pinhais</t>
  </si>
  <si>
    <t>União da Vitória</t>
  </si>
  <si>
    <t>Paranavaí</t>
  </si>
  <si>
    <t>LUCRO</t>
  </si>
  <si>
    <t>*Motorista (1)</t>
  </si>
  <si>
    <t>*Motorista (2)</t>
  </si>
  <si>
    <t>Desumidificador</t>
  </si>
  <si>
    <t>* DSR é variável de acordo com o número de domingos e feriados do mês - (para fins de provisionamento considerado 5 (cinco) Domigos mensais.</t>
  </si>
  <si>
    <t>CUSTOS INDIRETOS</t>
  </si>
  <si>
    <t>ISS</t>
  </si>
  <si>
    <t>RECEPÇÃO</t>
  </si>
  <si>
    <t xml:space="preserve">MOTORISTA E PORTARIA </t>
  </si>
  <si>
    <t>calças cargo brim/sarja na cor azul marinho</t>
  </si>
  <si>
    <r>
      <t xml:space="preserve">blusa para frio na cor azul marinho </t>
    </r>
    <r>
      <rPr>
        <i/>
        <sz val="11"/>
        <color theme="1"/>
        <rFont val="Arial"/>
        <family val="2"/>
      </rPr>
      <t>sueter</t>
    </r>
    <r>
      <rPr>
        <sz val="11"/>
        <color theme="1"/>
        <rFont val="Arial"/>
        <family val="2"/>
      </rPr>
      <t xml:space="preserve"> em lã gola "V"</t>
    </r>
  </si>
  <si>
    <r>
      <t xml:space="preserve">blusa para frio na cor preta </t>
    </r>
    <r>
      <rPr>
        <i/>
        <sz val="11"/>
        <color theme="1"/>
        <rFont val="Arial"/>
        <family val="2"/>
      </rPr>
      <t>sueter</t>
    </r>
    <r>
      <rPr>
        <sz val="11"/>
        <color theme="1"/>
        <rFont val="Arial"/>
        <family val="2"/>
      </rPr>
      <t xml:space="preserve"> em lã gola "V"</t>
    </r>
  </si>
  <si>
    <r>
      <t xml:space="preserve">blusa para frio na cor preta </t>
    </r>
    <r>
      <rPr>
        <i/>
        <sz val="11"/>
        <color theme="1"/>
        <rFont val="Arial"/>
        <family val="2"/>
      </rPr>
      <t xml:space="preserve">sueter </t>
    </r>
    <r>
      <rPr>
        <sz val="11"/>
        <color theme="1"/>
        <rFont val="Arial"/>
        <family val="2"/>
      </rPr>
      <t>em lã gola "V"</t>
    </r>
  </si>
  <si>
    <t xml:space="preserve">Curitiba - Sede </t>
  </si>
  <si>
    <t>Curitiba - Reg. Ctba</t>
  </si>
  <si>
    <t>Telemaco Borba</t>
  </si>
  <si>
    <t>ISS sem vinculos</t>
  </si>
  <si>
    <t>PIS sem vinculos</t>
  </si>
  <si>
    <t>COFINS sem vinculos</t>
  </si>
  <si>
    <t>Mem. Calc.</t>
  </si>
  <si>
    <t>VINCULADA AS PLANILHAS DE PREÇOS</t>
  </si>
  <si>
    <t>QTDE. SOLICITAÇÃO MENSAL</t>
  </si>
  <si>
    <t>Água Verde (Ctba)</t>
  </si>
  <si>
    <t>Limp. Água Verde (Curitiba)</t>
  </si>
  <si>
    <t>MATERIAIS DE HIGIENE E LIMPEZA</t>
  </si>
  <si>
    <t>vincular</t>
  </si>
  <si>
    <t>Portaria (SEDE)</t>
  </si>
  <si>
    <t>**Portaria (SEDE)</t>
  </si>
  <si>
    <t>Trabalho aos domingos e feriados A partir da 3º hora)</t>
  </si>
  <si>
    <t>Eventuais Horas extras</t>
  </si>
  <si>
    <t>*Portaria (Maringá)</t>
  </si>
  <si>
    <t>Aux. Mant. Predial</t>
  </si>
  <si>
    <t>Gratuito</t>
  </si>
  <si>
    <t>7823-10</t>
  </si>
  <si>
    <t>*Motoristas 1 e 2</t>
  </si>
  <si>
    <t>VIDROS (m²) sem risco</t>
  </si>
  <si>
    <t>VIDROS (m²) com risco</t>
  </si>
  <si>
    <t xml:space="preserve">TOTAL ANUAL MÃO DE OBRA </t>
  </si>
  <si>
    <t>*IV - Esquadria Interna e externa (sem risco)</t>
  </si>
  <si>
    <t>V - Fachada Envidraçada - Face externa com risco</t>
  </si>
  <si>
    <t>VALOR GLOBAL DA PROPOSTA (serviços)</t>
  </si>
  <si>
    <t>FACHADA ENVIDRAÇADA - FACE EXTERNA E CALÇADAS EXTERNAS</t>
  </si>
  <si>
    <t>VI - Calçadas externas</t>
  </si>
  <si>
    <t>TOTAL ANUAL COM CUSTOS INDIRETOS, TRIBUTOS E LUCRO (R$)</t>
  </si>
  <si>
    <t>jalecos cavado Bi-stretch (avental duplo com bolso e ajuste lateral)</t>
  </si>
  <si>
    <t xml:space="preserve">Luva de vaqueta </t>
  </si>
  <si>
    <t>ok</t>
  </si>
  <si>
    <t>2025 á 2027</t>
  </si>
  <si>
    <t>2025 á 2026</t>
  </si>
  <si>
    <t>MATERIAIS (ESTIMATIVO MENSAL) (R$)</t>
  </si>
  <si>
    <t>FACHADA ENVIDRAÇADA - FACE EXTERNA</t>
  </si>
  <si>
    <t>SUBTOTAL</t>
  </si>
  <si>
    <t>Versão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</si>
</sst>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0.000%"/>
    <numFmt numFmtId="167" formatCode="#,##0_ ;\-#,##0\ "/>
    <numFmt numFmtId="168" formatCode="#,##0.00_ ;\-#,##0.00\ "/>
    <numFmt numFmtId="169" formatCode="_(* #,##0.00_);_(* \(#,##0.00\);_(* &quot;-&quot;??_);_(@_)"/>
    <numFmt numFmtId="170" formatCode="_(&quot;R$&quot;* #,##0.00_);_(&quot;R$&quot;* \(#,##0.00\);_(&quot;R$&quot;* &quot;-&quot;??_);_(@_)"/>
    <numFmt numFmtId="171" formatCode="_(* #,##0.00_);_(* \(#,##0.00\);_(* \-??_);_(@_)"/>
  </numFmts>
  <fonts count="6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name val="Verdana"/>
      <family val="2"/>
    </font>
    <font>
      <b/>
      <u/>
      <sz val="1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b/>
      <sz val="10"/>
      <color rgb="FF000000"/>
      <name val="Calibri"/>
      <family val="2"/>
      <charset val="1"/>
    </font>
    <font>
      <sz val="10"/>
      <color rgb="FFFFFF00"/>
      <name val="Arial"/>
      <family val="2"/>
    </font>
    <font>
      <sz val="10"/>
      <color rgb="FFFF0000"/>
      <name val="Arial"/>
      <family val="2"/>
    </font>
    <font>
      <b/>
      <sz val="24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9"/>
      <color indexed="10"/>
      <name val="Geneva"/>
      <family val="2"/>
    </font>
    <font>
      <u/>
      <sz val="11"/>
      <color theme="10"/>
      <name val="Calibri"/>
      <family val="2"/>
    </font>
    <font>
      <sz val="10"/>
      <name val="Arial"/>
      <family val="2"/>
      <charset val="1"/>
    </font>
    <font>
      <b/>
      <sz val="8"/>
      <name val="Arial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EE6E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983">
    <xf numFmtId="0" fontId="0" fillId="0" borderId="0"/>
    <xf numFmtId="165" fontId="7" fillId="0" borderId="0" applyFill="0" applyBorder="0" applyAlignment="0" applyProtection="0"/>
    <xf numFmtId="9" fontId="7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  <xf numFmtId="44" fontId="7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0" fontId="24" fillId="0" borderId="0"/>
    <xf numFmtId="0" fontId="20" fillId="0" borderId="0"/>
    <xf numFmtId="0" fontId="20" fillId="0" borderId="0"/>
    <xf numFmtId="9" fontId="4" fillId="0" borderId="0" applyFont="0" applyFill="0" applyBorder="0" applyAlignment="0" applyProtection="0"/>
    <xf numFmtId="0" fontId="38" fillId="0" borderId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6" fillId="0" borderId="0"/>
    <xf numFmtId="0" fontId="56" fillId="0" borderId="0"/>
    <xf numFmtId="0" fontId="56" fillId="0" borderId="0"/>
    <xf numFmtId="0" fontId="43" fillId="26" borderId="95" applyNumberFormat="0" applyAlignment="0" applyProtection="0"/>
    <xf numFmtId="0" fontId="43" fillId="26" borderId="95" applyNumberFormat="0" applyAlignment="0" applyProtection="0"/>
    <xf numFmtId="0" fontId="43" fillId="26" borderId="95" applyNumberFormat="0" applyAlignment="0" applyProtection="0"/>
    <xf numFmtId="0" fontId="43" fillId="26" borderId="95" applyNumberFormat="0" applyAlignment="0" applyProtection="0"/>
    <xf numFmtId="0" fontId="44" fillId="0" borderId="96" applyNumberFormat="0" applyFill="0" applyAlignment="0" applyProtection="0"/>
    <xf numFmtId="0" fontId="44" fillId="0" borderId="96" applyNumberFormat="0" applyFill="0" applyAlignment="0" applyProtection="0"/>
    <xf numFmtId="0" fontId="44" fillId="0" borderId="96" applyNumberFormat="0" applyFill="0" applyAlignment="0" applyProtection="0"/>
    <xf numFmtId="0" fontId="44" fillId="0" borderId="96" applyNumberFormat="0" applyFill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4" fontId="7" fillId="0" borderId="0" applyFill="0" applyBorder="0" applyAlignment="0" applyProtection="0"/>
    <xf numFmtId="170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9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7" fillId="0" borderId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99" applyNumberFormat="0" applyFill="0" applyAlignment="0" applyProtection="0"/>
    <xf numFmtId="0" fontId="52" fillId="0" borderId="99" applyNumberFormat="0" applyFill="0" applyAlignment="0" applyProtection="0"/>
    <xf numFmtId="0" fontId="52" fillId="0" borderId="99" applyNumberFormat="0" applyFill="0" applyAlignment="0" applyProtection="0"/>
    <xf numFmtId="0" fontId="52" fillId="0" borderId="99" applyNumberFormat="0" applyFill="0" applyAlignment="0" applyProtection="0"/>
    <xf numFmtId="0" fontId="53" fillId="0" borderId="100" applyNumberFormat="0" applyFill="0" applyAlignment="0" applyProtection="0"/>
    <xf numFmtId="0" fontId="53" fillId="0" borderId="100" applyNumberFormat="0" applyFill="0" applyAlignment="0" applyProtection="0"/>
    <xf numFmtId="0" fontId="53" fillId="0" borderId="100" applyNumberFormat="0" applyFill="0" applyAlignment="0" applyProtection="0"/>
    <xf numFmtId="0" fontId="53" fillId="0" borderId="100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10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ill="0" applyBorder="0" applyAlignment="0" applyProtection="0"/>
    <xf numFmtId="4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ill="0" applyBorder="0" applyAlignment="0" applyProtection="0"/>
    <xf numFmtId="4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44" fontId="7" fillId="0" borderId="0" applyFill="0" applyBorder="0" applyAlignment="0" applyProtection="0"/>
    <xf numFmtId="0" fontId="39" fillId="32" borderId="97" applyNumberFormat="0" applyFon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5" fillId="16" borderId="94" applyNumberFormat="0" applyAlignment="0" applyProtection="0"/>
    <xf numFmtId="0" fontId="3" fillId="0" borderId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9" fontId="3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9" fontId="3" fillId="0" borderId="0" applyFont="0" applyFill="0" applyBorder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9" fontId="3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8" fillId="25" borderId="98" applyNumberFormat="0" applyAlignment="0" applyProtection="0"/>
    <xf numFmtId="43" fontId="7" fillId="0" borderId="0" applyFont="0" applyFill="0" applyBorder="0" applyAlignment="0" applyProtection="0"/>
    <xf numFmtId="0" fontId="48" fillId="25" borderId="98" applyNumberFormat="0" applyAlignment="0" applyProtection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0" fontId="45" fillId="16" borderId="94" applyNumberForma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5" fillId="16" borderId="94" applyNumberForma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" fillId="0" borderId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9" fontId="3" fillId="0" borderId="0" applyFont="0" applyFill="0" applyBorder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2" fillId="25" borderId="9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2" fillId="25" borderId="94" applyNumberFormat="0" applyAlignment="0" applyProtection="0"/>
    <xf numFmtId="0" fontId="3" fillId="0" borderId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" fillId="0" borderId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9" fontId="3" fillId="0" borderId="0" applyFont="0" applyFill="0" applyBorder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43" fontId="3" fillId="0" borderId="0" applyFont="0" applyFill="0" applyBorder="0" applyAlignment="0" applyProtection="0"/>
    <xf numFmtId="0" fontId="3" fillId="0" borderId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" fillId="0" borderId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9" fontId="3" fillId="0" borderId="0" applyFont="0" applyFill="0" applyBorder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43" fontId="3" fillId="0" borderId="0" applyFont="0" applyFill="0" applyBorder="0" applyAlignment="0" applyProtection="0"/>
    <xf numFmtId="0" fontId="3" fillId="0" borderId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3" fillId="0" borderId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" fillId="0" borderId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9" fontId="3" fillId="0" borderId="0" applyFont="0" applyFill="0" applyBorder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43" fontId="3" fillId="0" borderId="0" applyFont="0" applyFill="0" applyBorder="0" applyAlignment="0" applyProtection="0"/>
    <xf numFmtId="0" fontId="39" fillId="32" borderId="97" applyNumberFormat="0" applyFon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9" fontId="3" fillId="0" borderId="0" applyFont="0" applyFill="0" applyBorder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43" fontId="3" fillId="0" borderId="0" applyFont="0" applyFill="0" applyBorder="0" applyAlignment="0" applyProtection="0"/>
    <xf numFmtId="0" fontId="3" fillId="0" borderId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9" fillId="32" borderId="97" applyNumberFormat="0" applyFont="0" applyAlignment="0" applyProtection="0"/>
    <xf numFmtId="9" fontId="3" fillId="0" borderId="0" applyFont="0" applyFill="0" applyBorder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5" fillId="16" borderId="94" applyNumberFormat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39" fillId="32" borderId="97" applyNumberFormat="0" applyFont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39" fillId="32" borderId="97" applyNumberFormat="0" applyFon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39" fillId="32" borderId="97" applyNumberFormat="0" applyFon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39" fillId="32" borderId="97" applyNumberFormat="0" applyFon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55" fillId="0" borderId="102" applyNumberFormat="0" applyFill="0" applyAlignment="0" applyProtection="0"/>
    <xf numFmtId="0" fontId="55" fillId="0" borderId="102" applyNumberFormat="0" applyFill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2" fillId="25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8" fillId="25" borderId="98" applyNumberFormat="0" applyAlignment="0" applyProtection="0"/>
    <xf numFmtId="0" fontId="48" fillId="25" borderId="98" applyNumberFormat="0" applyAlignment="0" applyProtection="0"/>
    <xf numFmtId="0" fontId="42" fillId="25" borderId="94" applyNumberFormat="0" applyAlignment="0" applyProtection="0"/>
    <xf numFmtId="0" fontId="45" fillId="16" borderId="94" applyNumberFormat="0" applyAlignment="0" applyProtection="0"/>
    <xf numFmtId="0" fontId="45" fillId="16" borderId="94" applyNumberFormat="0" applyAlignment="0" applyProtection="0"/>
    <xf numFmtId="0" fontId="42" fillId="25" borderId="94" applyNumberFormat="0" applyAlignment="0" applyProtection="0"/>
    <xf numFmtId="0" fontId="3" fillId="0" borderId="0"/>
    <xf numFmtId="169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1" fontId="58" fillId="0" borderId="0" applyBorder="0" applyProtection="0"/>
  </cellStyleXfs>
  <cellXfs count="871">
    <xf numFmtId="0" fontId="0" fillId="0" borderId="0" xfId="0"/>
    <xf numFmtId="0" fontId="11" fillId="0" borderId="26" xfId="0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14" fontId="11" fillId="0" borderId="0" xfId="0" applyNumberFormat="1" applyFont="1" applyAlignment="1">
      <alignment horizontal="center"/>
    </xf>
    <xf numFmtId="2" fontId="11" fillId="0" borderId="1" xfId="0" applyNumberFormat="1" applyFont="1" applyBorder="1"/>
    <xf numFmtId="10" fontId="11" fillId="0" borderId="1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3" fontId="12" fillId="0" borderId="1" xfId="0" applyNumberFormat="1" applyFont="1" applyBorder="1"/>
    <xf numFmtId="2" fontId="12" fillId="0" borderId="0" xfId="0" applyNumberFormat="1" applyFont="1"/>
    <xf numFmtId="10" fontId="11" fillId="0" borderId="1" xfId="0" applyNumberFormat="1" applyFont="1" applyBorder="1" applyAlignment="1">
      <alignment horizontal="center"/>
    </xf>
    <xf numFmtId="10" fontId="11" fillId="4" borderId="1" xfId="0" applyNumberFormat="1" applyFont="1" applyFill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10" fontId="12" fillId="0" borderId="0" xfId="0" applyNumberFormat="1" applyFont="1" applyAlignment="1">
      <alignment horizontal="center"/>
    </xf>
    <xf numFmtId="0" fontId="12" fillId="0" borderId="34" xfId="0" applyFont="1" applyBorder="1" applyAlignment="1">
      <alignment horizontal="center"/>
    </xf>
    <xf numFmtId="10" fontId="12" fillId="0" borderId="34" xfId="0" applyNumberFormat="1" applyFont="1" applyBorder="1" applyAlignment="1">
      <alignment horizontal="center"/>
    </xf>
    <xf numFmtId="2" fontId="12" fillId="0" borderId="34" xfId="0" applyNumberFormat="1" applyFont="1" applyBorder="1"/>
    <xf numFmtId="10" fontId="12" fillId="5" borderId="1" xfId="0" applyNumberFormat="1" applyFont="1" applyFill="1" applyBorder="1" applyAlignment="1">
      <alignment horizontal="center"/>
    </xf>
    <xf numFmtId="0" fontId="11" fillId="0" borderId="12" xfId="0" applyFont="1" applyBorder="1"/>
    <xf numFmtId="0" fontId="11" fillId="0" borderId="27" xfId="0" applyFont="1" applyBorder="1"/>
    <xf numFmtId="2" fontId="11" fillId="0" borderId="1" xfId="0" applyNumberFormat="1" applyFont="1" applyBorder="1" applyAlignment="1">
      <alignment horizontal="center"/>
    </xf>
    <xf numFmtId="10" fontId="11" fillId="0" borderId="1" xfId="2" applyNumberFormat="1" applyFont="1" applyBorder="1"/>
    <xf numFmtId="10" fontId="12" fillId="0" borderId="1" xfId="2" applyNumberFormat="1" applyFont="1" applyBorder="1"/>
    <xf numFmtId="10" fontId="11" fillId="0" borderId="0" xfId="2" applyNumberFormat="1" applyFont="1"/>
    <xf numFmtId="0" fontId="12" fillId="5" borderId="26" xfId="0" applyFont="1" applyFill="1" applyBorder="1"/>
    <xf numFmtId="0" fontId="12" fillId="5" borderId="12" xfId="0" applyFont="1" applyFill="1" applyBorder="1"/>
    <xf numFmtId="0" fontId="12" fillId="5" borderId="27" xfId="0" applyFont="1" applyFill="1" applyBorder="1"/>
    <xf numFmtId="43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11" fillId="4" borderId="59" xfId="0" applyFont="1" applyFill="1" applyBorder="1"/>
    <xf numFmtId="0" fontId="11" fillId="4" borderId="0" xfId="0" applyFont="1" applyFill="1" applyAlignment="1">
      <alignment horizontal="left" vertical="center"/>
    </xf>
    <xf numFmtId="0" fontId="11" fillId="6" borderId="50" xfId="0" applyFont="1" applyFill="1" applyBorder="1" applyAlignment="1">
      <alignment horizontal="center" vertical="center"/>
    </xf>
    <xf numFmtId="0" fontId="11" fillId="6" borderId="39" xfId="0" applyFont="1" applyFill="1" applyBorder="1" applyAlignment="1">
      <alignment horizontal="center" vertical="center"/>
    </xf>
    <xf numFmtId="0" fontId="11" fillId="6" borderId="51" xfId="0" applyFont="1" applyFill="1" applyBorder="1" applyAlignment="1">
      <alignment horizontal="center" vertical="center"/>
    </xf>
    <xf numFmtId="44" fontId="11" fillId="6" borderId="50" xfId="1" applyNumberFormat="1" applyFont="1" applyFill="1" applyBorder="1" applyAlignment="1" applyProtection="1">
      <alignment horizontal="center" vertical="center"/>
      <protection locked="0"/>
    </xf>
    <xf numFmtId="0" fontId="11" fillId="4" borderId="39" xfId="0" applyFont="1" applyFill="1" applyBorder="1" applyAlignment="1">
      <alignment horizontal="center" vertical="center"/>
    </xf>
    <xf numFmtId="44" fontId="11" fillId="6" borderId="39" xfId="1" applyNumberFormat="1" applyFont="1" applyFill="1" applyBorder="1" applyAlignment="1">
      <alignment horizontal="center" vertical="center"/>
    </xf>
    <xf numFmtId="44" fontId="11" fillId="6" borderId="51" xfId="1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0" fontId="11" fillId="6" borderId="53" xfId="0" applyFont="1" applyFill="1" applyBorder="1" applyAlignment="1">
      <alignment horizontal="left" vertical="center"/>
    </xf>
    <xf numFmtId="0" fontId="11" fillId="6" borderId="54" xfId="0" applyFont="1" applyFill="1" applyBorder="1" applyAlignment="1">
      <alignment horizontal="left" vertical="center"/>
    </xf>
    <xf numFmtId="0" fontId="11" fillId="6" borderId="55" xfId="0" applyFont="1" applyFill="1" applyBorder="1" applyAlignment="1">
      <alignment horizontal="left" vertical="center"/>
    </xf>
    <xf numFmtId="44" fontId="11" fillId="6" borderId="50" xfId="1" applyNumberFormat="1" applyFont="1" applyFill="1" applyBorder="1" applyAlignment="1">
      <alignment horizontal="center" vertical="center"/>
    </xf>
    <xf numFmtId="9" fontId="11" fillId="6" borderId="39" xfId="2" applyFont="1" applyFill="1" applyBorder="1" applyAlignment="1">
      <alignment horizontal="center" vertical="center"/>
    </xf>
    <xf numFmtId="0" fontId="11" fillId="6" borderId="52" xfId="0" applyFont="1" applyFill="1" applyBorder="1" applyAlignment="1">
      <alignment horizontal="left" vertical="center"/>
    </xf>
    <xf numFmtId="0" fontId="11" fillId="6" borderId="50" xfId="0" applyFont="1" applyFill="1" applyBorder="1" applyAlignment="1">
      <alignment horizontal="centerContinuous" vertical="center"/>
    </xf>
    <xf numFmtId="0" fontId="11" fillId="6" borderId="39" xfId="0" applyFont="1" applyFill="1" applyBorder="1" applyAlignment="1">
      <alignment horizontal="centerContinuous" vertical="center"/>
    </xf>
    <xf numFmtId="0" fontId="11" fillId="6" borderId="40" xfId="0" applyFont="1" applyFill="1" applyBorder="1" applyAlignment="1">
      <alignment horizontal="centerContinuous" vertical="center"/>
    </xf>
    <xf numFmtId="44" fontId="11" fillId="6" borderId="56" xfId="1" applyNumberFormat="1" applyFont="1" applyFill="1" applyBorder="1" applyAlignment="1">
      <alignment horizontal="center" vertical="center"/>
    </xf>
    <xf numFmtId="44" fontId="11" fillId="6" borderId="11" xfId="1" applyNumberFormat="1" applyFont="1" applyFill="1" applyBorder="1" applyAlignment="1">
      <alignment horizontal="center" vertical="center"/>
    </xf>
    <xf numFmtId="0" fontId="11" fillId="6" borderId="57" xfId="0" applyFont="1" applyFill="1" applyBorder="1" applyAlignment="1">
      <alignment horizontal="left" vertical="center"/>
    </xf>
    <xf numFmtId="165" fontId="11" fillId="6" borderId="56" xfId="1" applyFont="1" applyFill="1" applyBorder="1" applyAlignment="1">
      <alignment horizontal="center" vertical="center"/>
    </xf>
    <xf numFmtId="0" fontId="11" fillId="6" borderId="60" xfId="0" applyFont="1" applyFill="1" applyBorder="1" applyAlignment="1">
      <alignment horizontal="left" vertical="center"/>
    </xf>
    <xf numFmtId="0" fontId="11" fillId="6" borderId="30" xfId="0" applyFont="1" applyFill="1" applyBorder="1" applyAlignment="1">
      <alignment horizontal="left" vertical="center"/>
    </xf>
    <xf numFmtId="0" fontId="11" fillId="6" borderId="31" xfId="0" applyFont="1" applyFill="1" applyBorder="1" applyAlignment="1">
      <alignment horizontal="left" vertical="center"/>
    </xf>
    <xf numFmtId="0" fontId="12" fillId="4" borderId="49" xfId="0" applyFont="1" applyFill="1" applyBorder="1" applyAlignment="1">
      <alignment vertical="center"/>
    </xf>
    <xf numFmtId="165" fontId="11" fillId="4" borderId="13" xfId="1" applyFont="1" applyFill="1" applyBorder="1" applyAlignment="1">
      <alignment horizontal="center" vertical="center"/>
    </xf>
    <xf numFmtId="0" fontId="12" fillId="6" borderId="41" xfId="0" applyFont="1" applyFill="1" applyBorder="1" applyAlignment="1">
      <alignment horizontal="center" vertical="center"/>
    </xf>
    <xf numFmtId="0" fontId="12" fillId="6" borderId="44" xfId="0" applyFont="1" applyFill="1" applyBorder="1" applyAlignment="1">
      <alignment horizontal="center" vertical="center"/>
    </xf>
    <xf numFmtId="0" fontId="11" fillId="6" borderId="44" xfId="0" applyFont="1" applyFill="1" applyBorder="1" applyAlignment="1">
      <alignment horizontal="left" vertical="center"/>
    </xf>
    <xf numFmtId="0" fontId="11" fillId="6" borderId="45" xfId="0" applyFont="1" applyFill="1" applyBorder="1" applyAlignment="1">
      <alignment horizontal="left" vertical="center"/>
    </xf>
    <xf numFmtId="0" fontId="11" fillId="4" borderId="45" xfId="0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/>
    <xf numFmtId="0" fontId="11" fillId="0" borderId="1" xfId="0" applyFont="1" applyBorder="1" applyAlignment="1">
      <alignment horizontal="center" vertical="center" wrapText="1"/>
    </xf>
    <xf numFmtId="43" fontId="12" fillId="0" borderId="0" xfId="0" applyNumberFormat="1" applyFont="1"/>
    <xf numFmtId="43" fontId="11" fillId="0" borderId="1" xfId="0" applyNumberFormat="1" applyFont="1" applyBorder="1" applyAlignment="1">
      <alignment horizontal="right"/>
    </xf>
    <xf numFmtId="43" fontId="11" fillId="4" borderId="1" xfId="0" applyNumberFormat="1" applyFont="1" applyFill="1" applyBorder="1" applyAlignment="1">
      <alignment horizontal="center"/>
    </xf>
    <xf numFmtId="167" fontId="11" fillId="4" borderId="1" xfId="0" applyNumberFormat="1" applyFont="1" applyFill="1" applyBorder="1" applyAlignment="1">
      <alignment horizontal="center" vertical="center" wrapText="1"/>
    </xf>
    <xf numFmtId="43" fontId="11" fillId="4" borderId="1" xfId="0" applyNumberFormat="1" applyFont="1" applyFill="1" applyBorder="1" applyAlignment="1">
      <alignment horizontal="right" vertical="center" wrapText="1"/>
    </xf>
    <xf numFmtId="0" fontId="12" fillId="4" borderId="26" xfId="0" applyFont="1" applyFill="1" applyBorder="1" applyAlignment="1">
      <alignment vertical="center"/>
    </xf>
    <xf numFmtId="0" fontId="11" fillId="4" borderId="27" xfId="0" applyFont="1" applyFill="1" applyBorder="1" applyAlignment="1">
      <alignment vertical="center" wrapText="1"/>
    </xf>
    <xf numFmtId="43" fontId="12" fillId="4" borderId="1" xfId="0" applyNumberFormat="1" applyFont="1" applyFill="1" applyBorder="1" applyAlignment="1">
      <alignment horizontal="right" vertical="center" wrapText="1"/>
    </xf>
    <xf numFmtId="44" fontId="11" fillId="6" borderId="52" xfId="1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44" fontId="11" fillId="6" borderId="53" xfId="1" applyNumberFormat="1" applyFont="1" applyFill="1" applyBorder="1" applyAlignment="1">
      <alignment horizontal="center" vertical="center"/>
    </xf>
    <xf numFmtId="44" fontId="11" fillId="6" borderId="54" xfId="1" applyNumberFormat="1" applyFont="1" applyFill="1" applyBorder="1" applyAlignment="1" applyProtection="1">
      <alignment horizontal="center" vertical="center"/>
      <protection locked="0"/>
    </xf>
    <xf numFmtId="44" fontId="11" fillId="6" borderId="55" xfId="1" applyNumberFormat="1" applyFont="1" applyFill="1" applyBorder="1" applyAlignment="1">
      <alignment horizontal="center" vertical="center"/>
    </xf>
    <xf numFmtId="43" fontId="11" fillId="4" borderId="0" xfId="0" applyNumberFormat="1" applyFont="1" applyFill="1"/>
    <xf numFmtId="0" fontId="11" fillId="4" borderId="0" xfId="0" applyFont="1" applyFill="1"/>
    <xf numFmtId="0" fontId="12" fillId="4" borderId="0" xfId="0" applyFont="1" applyFill="1" applyAlignment="1">
      <alignment horizontal="center"/>
    </xf>
    <xf numFmtId="43" fontId="12" fillId="4" borderId="0" xfId="0" applyNumberFormat="1" applyFont="1" applyFill="1" applyAlignment="1">
      <alignment horizontal="center"/>
    </xf>
    <xf numFmtId="0" fontId="12" fillId="4" borderId="12" xfId="0" applyFont="1" applyFill="1" applyBorder="1" applyAlignment="1">
      <alignment horizontal="center"/>
    </xf>
    <xf numFmtId="43" fontId="12" fillId="4" borderId="27" xfId="0" applyNumberFormat="1" applyFont="1" applyFill="1" applyBorder="1" applyAlignment="1">
      <alignment horizontal="center"/>
    </xf>
    <xf numFmtId="43" fontId="11" fillId="4" borderId="27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43" fontId="11" fillId="4" borderId="1" xfId="0" applyNumberFormat="1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43" fontId="11" fillId="4" borderId="1" xfId="0" applyNumberFormat="1" applyFont="1" applyFill="1" applyBorder="1"/>
    <xf numFmtId="44" fontId="11" fillId="4" borderId="51" xfId="1" applyNumberFormat="1" applyFont="1" applyFill="1" applyBorder="1" applyAlignment="1">
      <alignment horizontal="center" vertical="center"/>
    </xf>
    <xf numFmtId="10" fontId="11" fillId="4" borderId="1" xfId="2" applyNumberFormat="1" applyFont="1" applyFill="1" applyBorder="1"/>
    <xf numFmtId="44" fontId="11" fillId="4" borderId="39" xfId="1" applyNumberFormat="1" applyFont="1" applyFill="1" applyBorder="1" applyAlignment="1">
      <alignment horizontal="center" vertical="center"/>
    </xf>
    <xf numFmtId="44" fontId="11" fillId="4" borderId="39" xfId="1" applyNumberFormat="1" applyFont="1" applyFill="1" applyBorder="1" applyAlignment="1" applyProtection="1">
      <alignment horizontal="center" vertical="center"/>
      <protection locked="0"/>
    </xf>
    <xf numFmtId="10" fontId="12" fillId="4" borderId="1" xfId="0" applyNumberFormat="1" applyFont="1" applyFill="1" applyBorder="1" applyAlignment="1">
      <alignment horizontal="center"/>
    </xf>
    <xf numFmtId="43" fontId="12" fillId="4" borderId="1" xfId="0" applyNumberFormat="1" applyFont="1" applyFill="1" applyBorder="1"/>
    <xf numFmtId="10" fontId="11" fillId="4" borderId="1" xfId="2" applyNumberFormat="1" applyFont="1" applyFill="1" applyBorder="1" applyAlignment="1">
      <alignment horizontal="center"/>
    </xf>
    <xf numFmtId="44" fontId="11" fillId="6" borderId="0" xfId="1" applyNumberFormat="1" applyFont="1" applyFill="1" applyAlignment="1">
      <alignment horizontal="center" vertical="center"/>
    </xf>
    <xf numFmtId="165" fontId="11" fillId="6" borderId="0" xfId="1" applyFont="1" applyFill="1" applyAlignment="1">
      <alignment horizontal="center" vertical="center"/>
    </xf>
    <xf numFmtId="0" fontId="11" fillId="4" borderId="74" xfId="0" applyFont="1" applyFill="1" applyBorder="1"/>
    <xf numFmtId="0" fontId="11" fillId="6" borderId="77" xfId="0" applyFont="1" applyFill="1" applyBorder="1" applyAlignment="1">
      <alignment horizontal="center" vertical="center"/>
    </xf>
    <xf numFmtId="0" fontId="11" fillId="6" borderId="78" xfId="0" applyFont="1" applyFill="1" applyBorder="1" applyAlignment="1">
      <alignment horizontal="center" vertical="center"/>
    </xf>
    <xf numFmtId="44" fontId="11" fillId="6" borderId="78" xfId="1" applyNumberFormat="1" applyFont="1" applyFill="1" applyBorder="1" applyAlignment="1">
      <alignment horizontal="center" vertical="center"/>
    </xf>
    <xf numFmtId="44" fontId="11" fillId="6" borderId="79" xfId="1" applyNumberFormat="1" applyFont="1" applyFill="1" applyBorder="1" applyAlignment="1" applyProtection="1">
      <alignment horizontal="center" vertical="center"/>
      <protection locked="0"/>
    </xf>
    <xf numFmtId="44" fontId="11" fillId="6" borderId="80" xfId="1" applyNumberFormat="1" applyFont="1" applyFill="1" applyBorder="1" applyAlignment="1">
      <alignment horizontal="center" vertical="center"/>
    </xf>
    <xf numFmtId="0" fontId="11" fillId="6" borderId="80" xfId="0" applyFont="1" applyFill="1" applyBorder="1" applyAlignment="1">
      <alignment horizontal="left" vertical="center"/>
    </xf>
    <xf numFmtId="44" fontId="11" fillId="6" borderId="77" xfId="1" applyNumberFormat="1" applyFont="1" applyFill="1" applyBorder="1" applyAlignment="1">
      <alignment horizontal="center" vertical="center"/>
    </xf>
    <xf numFmtId="0" fontId="11" fillId="6" borderId="79" xfId="0" applyFont="1" applyFill="1" applyBorder="1" applyAlignment="1">
      <alignment horizontal="left" vertical="center"/>
    </xf>
    <xf numFmtId="0" fontId="11" fillId="6" borderId="77" xfId="0" applyFont="1" applyFill="1" applyBorder="1" applyAlignment="1">
      <alignment horizontal="centerContinuous" vertical="center"/>
    </xf>
    <xf numFmtId="0" fontId="11" fillId="6" borderId="81" xfId="0" applyFont="1" applyFill="1" applyBorder="1" applyAlignment="1">
      <alignment horizontal="left" vertical="center"/>
    </xf>
    <xf numFmtId="10" fontId="11" fillId="4" borderId="1" xfId="0" applyNumberFormat="1" applyFont="1" applyFill="1" applyBorder="1"/>
    <xf numFmtId="0" fontId="12" fillId="4" borderId="0" xfId="0" applyFont="1" applyFill="1" applyAlignment="1">
      <alignment horizontal="left"/>
    </xf>
    <xf numFmtId="0" fontId="11" fillId="0" borderId="35" xfId="0" applyFont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43" fontId="12" fillId="6" borderId="46" xfId="1" applyNumberFormat="1" applyFont="1" applyFill="1" applyBorder="1" applyAlignment="1">
      <alignment horizontal="left" vertical="center"/>
    </xf>
    <xf numFmtId="10" fontId="12" fillId="4" borderId="34" xfId="0" applyNumberFormat="1" applyFont="1" applyFill="1" applyBorder="1" applyAlignment="1">
      <alignment horizontal="center"/>
    </xf>
    <xf numFmtId="2" fontId="12" fillId="4" borderId="34" xfId="0" applyNumberFormat="1" applyFont="1" applyFill="1" applyBorder="1"/>
    <xf numFmtId="0" fontId="11" fillId="6" borderId="44" xfId="0" applyFont="1" applyFill="1" applyBorder="1" applyAlignment="1">
      <alignment horizontal="center" vertical="center"/>
    </xf>
    <xf numFmtId="43" fontId="11" fillId="0" borderId="46" xfId="1" applyNumberFormat="1" applyFont="1" applyBorder="1" applyAlignment="1">
      <alignment horizontal="left" vertical="center"/>
    </xf>
    <xf numFmtId="0" fontId="12" fillId="6" borderId="41" xfId="0" applyFont="1" applyFill="1" applyBorder="1" applyAlignment="1">
      <alignment horizontal="left" vertical="center"/>
    </xf>
    <xf numFmtId="0" fontId="12" fillId="6" borderId="42" xfId="0" applyFont="1" applyFill="1" applyBorder="1" applyAlignment="1">
      <alignment horizontal="left" vertical="center"/>
    </xf>
    <xf numFmtId="10" fontId="12" fillId="6" borderId="42" xfId="0" applyNumberFormat="1" applyFont="1" applyFill="1" applyBorder="1" applyAlignment="1">
      <alignment horizontal="left" vertical="center"/>
    </xf>
    <xf numFmtId="43" fontId="12" fillId="6" borderId="43" xfId="1" applyNumberFormat="1" applyFont="1" applyFill="1" applyBorder="1" applyAlignment="1">
      <alignment horizontal="left" vertical="center"/>
    </xf>
    <xf numFmtId="43" fontId="12" fillId="6" borderId="47" xfId="1" applyNumberFormat="1" applyFont="1" applyFill="1" applyBorder="1" applyAlignment="1">
      <alignment horizontal="left" vertical="center"/>
    </xf>
    <xf numFmtId="0" fontId="0" fillId="4" borderId="0" xfId="0" applyFill="1"/>
    <xf numFmtId="0" fontId="9" fillId="0" borderId="0" xfId="0" applyFont="1"/>
    <xf numFmtId="0" fontId="8" fillId="0" borderId="0" xfId="0" applyFont="1"/>
    <xf numFmtId="43" fontId="10" fillId="4" borderId="1" xfId="0" applyNumberFormat="1" applyFont="1" applyFill="1" applyBorder="1" applyAlignment="1">
      <alignment horizontal="center"/>
    </xf>
    <xf numFmtId="43" fontId="10" fillId="4" borderId="1" xfId="0" applyNumberFormat="1" applyFont="1" applyFill="1" applyBorder="1" applyAlignment="1">
      <alignment horizontal="right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21" fillId="0" borderId="0" xfId="0" applyFont="1"/>
    <xf numFmtId="0" fontId="11" fillId="4" borderId="1" xfId="0" applyFont="1" applyFill="1" applyBorder="1" applyAlignment="1">
      <alignment horizontal="center" vertical="center" wrapText="1"/>
    </xf>
    <xf numFmtId="43" fontId="11" fillId="4" borderId="1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43" fontId="11" fillId="4" borderId="1" xfId="0" applyNumberFormat="1" applyFont="1" applyFill="1" applyBorder="1" applyAlignment="1">
      <alignment vertical="center" wrapText="1"/>
    </xf>
    <xf numFmtId="43" fontId="11" fillId="4" borderId="1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/>
    </xf>
    <xf numFmtId="0" fontId="11" fillId="0" borderId="1" xfId="0" applyFont="1" applyBorder="1"/>
    <xf numFmtId="0" fontId="12" fillId="5" borderId="26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3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4" borderId="1" xfId="0" applyFont="1" applyFill="1" applyBorder="1"/>
    <xf numFmtId="0" fontId="11" fillId="0" borderId="26" xfId="0" applyFont="1" applyBorder="1" applyAlignment="1">
      <alignment horizontal="left" vertical="top"/>
    </xf>
    <xf numFmtId="49" fontId="11" fillId="4" borderId="1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43" fontId="11" fillId="0" borderId="0" xfId="0" applyNumberFormat="1" applyFont="1"/>
    <xf numFmtId="0" fontId="11" fillId="4" borderId="0" xfId="0" applyFont="1" applyFill="1" applyAlignment="1">
      <alignment horizontal="center"/>
    </xf>
    <xf numFmtId="0" fontId="11" fillId="4" borderId="0" xfId="0" applyFont="1" applyFill="1" applyAlignment="1">
      <alignment horizontal="left"/>
    </xf>
    <xf numFmtId="14" fontId="11" fillId="4" borderId="1" xfId="0" applyNumberFormat="1" applyFont="1" applyFill="1" applyBorder="1" applyAlignment="1">
      <alignment horizontal="center"/>
    </xf>
    <xf numFmtId="0" fontId="11" fillId="4" borderId="0" xfId="0" applyFont="1" applyFill="1" applyAlignment="1">
      <alignment horizontal="left" wrapText="1"/>
    </xf>
    <xf numFmtId="20" fontId="11" fillId="4" borderId="1" xfId="0" applyNumberFormat="1" applyFont="1" applyFill="1" applyBorder="1" applyAlignment="1">
      <alignment horizontal="center"/>
    </xf>
    <xf numFmtId="0" fontId="11" fillId="4" borderId="26" xfId="0" applyFont="1" applyFill="1" applyBorder="1"/>
    <xf numFmtId="0" fontId="11" fillId="4" borderId="12" xfId="0" applyFont="1" applyFill="1" applyBorder="1"/>
    <xf numFmtId="0" fontId="11" fillId="4" borderId="27" xfId="0" applyFont="1" applyFill="1" applyBorder="1"/>
    <xf numFmtId="43" fontId="11" fillId="4" borderId="27" xfId="0" applyNumberFormat="1" applyFont="1" applyFill="1" applyBorder="1" applyAlignment="1">
      <alignment horizontal="center"/>
    </xf>
    <xf numFmtId="0" fontId="11" fillId="4" borderId="26" xfId="0" applyFont="1" applyFill="1" applyBorder="1" applyAlignment="1">
      <alignment horizontal="left" vertical="top"/>
    </xf>
    <xf numFmtId="0" fontId="11" fillId="4" borderId="27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left"/>
    </xf>
    <xf numFmtId="44" fontId="11" fillId="0" borderId="39" xfId="1" applyNumberFormat="1" applyFont="1" applyFill="1" applyBorder="1" applyAlignment="1" applyProtection="1">
      <alignment horizontal="center" vertical="center"/>
      <protection locked="0"/>
    </xf>
    <xf numFmtId="44" fontId="11" fillId="0" borderId="50" xfId="1" applyNumberFormat="1" applyFont="1" applyFill="1" applyBorder="1" applyAlignment="1">
      <alignment horizontal="center" vertical="center"/>
    </xf>
    <xf numFmtId="2" fontId="11" fillId="4" borderId="0" xfId="0" applyNumberFormat="1" applyFont="1" applyFill="1" applyAlignment="1">
      <alignment horizontal="left"/>
    </xf>
    <xf numFmtId="43" fontId="11" fillId="0" borderId="1" xfId="0" applyNumberFormat="1" applyFont="1" applyBorder="1" applyAlignment="1">
      <alignment horizontal="center"/>
    </xf>
    <xf numFmtId="10" fontId="11" fillId="0" borderId="1" xfId="0" applyNumberFormat="1" applyFont="1" applyBorder="1"/>
    <xf numFmtId="10" fontId="11" fillId="0" borderId="1" xfId="2" applyNumberFormat="1" applyFont="1" applyFill="1" applyBorder="1" applyAlignment="1">
      <alignment horizontal="center"/>
    </xf>
    <xf numFmtId="10" fontId="11" fillId="0" borderId="1" xfId="2" applyNumberFormat="1" applyFont="1" applyFill="1" applyBorder="1"/>
    <xf numFmtId="44" fontId="11" fillId="0" borderId="50" xfId="1" applyNumberFormat="1" applyFont="1" applyFill="1" applyBorder="1" applyAlignment="1" applyProtection="1">
      <alignment horizontal="center" vertical="center"/>
      <protection locked="0"/>
    </xf>
    <xf numFmtId="10" fontId="12" fillId="0" borderId="1" xfId="2" applyNumberFormat="1" applyFont="1" applyFill="1" applyBorder="1"/>
    <xf numFmtId="0" fontId="11" fillId="0" borderId="39" xfId="0" applyFont="1" applyBorder="1" applyAlignment="1">
      <alignment horizontal="center" vertical="center"/>
    </xf>
    <xf numFmtId="44" fontId="11" fillId="0" borderId="39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4" fontId="11" fillId="0" borderId="52" xfId="1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44" fontId="11" fillId="0" borderId="53" xfId="1" applyNumberFormat="1" applyFont="1" applyFill="1" applyBorder="1" applyAlignment="1">
      <alignment horizontal="center" vertical="center"/>
    </xf>
    <xf numFmtId="44" fontId="11" fillId="0" borderId="54" xfId="1" applyNumberFormat="1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10" fontId="11" fillId="0" borderId="0" xfId="2" applyNumberFormat="1" applyFont="1" applyFill="1"/>
    <xf numFmtId="0" fontId="11" fillId="0" borderId="51" xfId="0" applyFont="1" applyBorder="1" applyAlignment="1">
      <alignment horizontal="center" vertical="center"/>
    </xf>
    <xf numFmtId="44" fontId="11" fillId="0" borderId="51" xfId="1" applyNumberFormat="1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/>
    </xf>
    <xf numFmtId="0" fontId="11" fillId="0" borderId="34" xfId="0" applyFont="1" applyBorder="1" applyAlignment="1">
      <alignment horizontal="left"/>
    </xf>
    <xf numFmtId="0" fontId="11" fillId="0" borderId="53" xfId="0" applyFont="1" applyBorder="1" applyAlignment="1">
      <alignment horizontal="left" vertical="center"/>
    </xf>
    <xf numFmtId="44" fontId="11" fillId="0" borderId="77" xfId="1" applyNumberFormat="1" applyFont="1" applyFill="1" applyBorder="1" applyAlignment="1" applyProtection="1">
      <alignment horizontal="center" vertical="center"/>
      <protection locked="0"/>
    </xf>
    <xf numFmtId="43" fontId="15" fillId="0" borderId="1" xfId="0" applyNumberFormat="1" applyFont="1" applyBorder="1"/>
    <xf numFmtId="44" fontId="11" fillId="4" borderId="50" xfId="1" applyNumberFormat="1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>
      <alignment horizontal="center"/>
    </xf>
    <xf numFmtId="10" fontId="12" fillId="4" borderId="1" xfId="2" applyNumberFormat="1" applyFont="1" applyFill="1" applyBorder="1"/>
    <xf numFmtId="0" fontId="16" fillId="0" borderId="0" xfId="0" applyFont="1"/>
    <xf numFmtId="44" fontId="11" fillId="4" borderId="0" xfId="0" applyNumberFormat="1" applyFont="1" applyFill="1" applyAlignment="1">
      <alignment horizontal="left" vertical="center"/>
    </xf>
    <xf numFmtId="168" fontId="11" fillId="0" borderId="39" xfId="1" applyNumberFormat="1" applyFont="1" applyFill="1" applyBorder="1" applyAlignment="1" applyProtection="1">
      <alignment horizontal="center" vertical="center"/>
      <protection locked="0"/>
    </xf>
    <xf numFmtId="164" fontId="11" fillId="0" borderId="39" xfId="1" applyNumberFormat="1" applyFont="1" applyFill="1" applyBorder="1" applyAlignment="1" applyProtection="1">
      <alignment horizontal="center" vertical="center"/>
      <protection locked="0"/>
    </xf>
    <xf numFmtId="166" fontId="11" fillId="0" borderId="1" xfId="0" applyNumberFormat="1" applyFont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43" fontId="11" fillId="0" borderId="27" xfId="0" applyNumberFormat="1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center"/>
    </xf>
    <xf numFmtId="0" fontId="14" fillId="0" borderId="0" xfId="0" applyFont="1"/>
    <xf numFmtId="2" fontId="11" fillId="0" borderId="0" xfId="0" applyNumberFormat="1" applyFont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65" fontId="11" fillId="0" borderId="13" xfId="1" applyFont="1" applyFill="1" applyBorder="1" applyAlignment="1">
      <alignment horizontal="center" vertical="center"/>
    </xf>
    <xf numFmtId="0" fontId="12" fillId="0" borderId="41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10" fontId="11" fillId="0" borderId="42" xfId="0" applyNumberFormat="1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center"/>
    </xf>
    <xf numFmtId="43" fontId="12" fillId="0" borderId="46" xfId="1" applyNumberFormat="1" applyFont="1" applyFill="1" applyBorder="1" applyAlignment="1">
      <alignment horizontal="left" vertical="center"/>
    </xf>
    <xf numFmtId="0" fontId="11" fillId="0" borderId="45" xfId="0" applyFont="1" applyBorder="1" applyAlignment="1">
      <alignment horizontal="center" vertical="center"/>
    </xf>
    <xf numFmtId="43" fontId="12" fillId="0" borderId="47" xfId="1" applyNumberFormat="1" applyFont="1" applyFill="1" applyBorder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43" fontId="12" fillId="0" borderId="43" xfId="1" applyNumberFormat="1" applyFont="1" applyFill="1" applyBorder="1" applyAlignment="1">
      <alignment horizontal="left" vertical="center"/>
    </xf>
    <xf numFmtId="43" fontId="11" fillId="0" borderId="46" xfId="1" applyNumberFormat="1" applyFont="1" applyFill="1" applyBorder="1" applyAlignment="1">
      <alignment horizontal="left" vertical="center"/>
    </xf>
    <xf numFmtId="164" fontId="11" fillId="4" borderId="39" xfId="1" applyNumberFormat="1" applyFont="1" applyFill="1" applyBorder="1" applyAlignment="1" applyProtection="1">
      <alignment horizontal="center" vertical="center"/>
      <protection locked="0"/>
    </xf>
    <xf numFmtId="43" fontId="12" fillId="0" borderId="27" xfId="0" applyNumberFormat="1" applyFont="1" applyBorder="1" applyAlignment="1">
      <alignment horizontal="center"/>
    </xf>
    <xf numFmtId="9" fontId="11" fillId="4" borderId="1" xfId="0" applyNumberFormat="1" applyFont="1" applyFill="1" applyBorder="1" applyAlignment="1">
      <alignment horizontal="right"/>
    </xf>
    <xf numFmtId="0" fontId="12" fillId="5" borderId="27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4" fontId="11" fillId="6" borderId="0" xfId="1" applyNumberFormat="1" applyFont="1" applyFill="1" applyBorder="1" applyAlignment="1">
      <alignment horizontal="center" vertical="center"/>
    </xf>
    <xf numFmtId="165" fontId="11" fillId="6" borderId="0" xfId="1" applyFont="1" applyFill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horizontal="center" vertical="center"/>
    </xf>
    <xf numFmtId="43" fontId="26" fillId="0" borderId="1" xfId="0" applyNumberFormat="1" applyFont="1" applyBorder="1" applyAlignment="1">
      <alignment vertical="center"/>
    </xf>
    <xf numFmtId="0" fontId="26" fillId="0" borderId="26" xfId="0" applyFont="1" applyBorder="1" applyAlignment="1">
      <alignment horizontal="center" vertical="center"/>
    </xf>
    <xf numFmtId="43" fontId="26" fillId="0" borderId="38" xfId="0" applyNumberFormat="1" applyFont="1" applyBorder="1" applyAlignment="1">
      <alignment vertical="center"/>
    </xf>
    <xf numFmtId="0" fontId="26" fillId="0" borderId="64" xfId="0" applyFont="1" applyBorder="1" applyAlignment="1">
      <alignment horizontal="center" vertical="center"/>
    </xf>
    <xf numFmtId="43" fontId="26" fillId="0" borderId="64" xfId="0" applyNumberFormat="1" applyFont="1" applyBorder="1" applyAlignment="1">
      <alignment vertical="center"/>
    </xf>
    <xf numFmtId="0" fontId="26" fillId="0" borderId="8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3" fontId="12" fillId="0" borderId="4" xfId="0" applyNumberFormat="1" applyFont="1" applyBorder="1"/>
    <xf numFmtId="43" fontId="12" fillId="0" borderId="7" xfId="0" applyNumberFormat="1" applyFont="1" applyBorder="1"/>
    <xf numFmtId="0" fontId="26" fillId="0" borderId="1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 textRotation="90"/>
    </xf>
    <xf numFmtId="0" fontId="28" fillId="0" borderId="38" xfId="0" applyFont="1" applyBorder="1" applyAlignment="1">
      <alignment horizontal="center" vertical="center" textRotation="90"/>
    </xf>
    <xf numFmtId="0" fontId="28" fillId="0" borderId="62" xfId="0" applyFont="1" applyBorder="1"/>
    <xf numFmtId="0" fontId="28" fillId="0" borderId="2" xfId="0" applyFont="1" applyBorder="1" applyAlignment="1">
      <alignment horizontal="center"/>
    </xf>
    <xf numFmtId="4" fontId="28" fillId="0" borderId="58" xfId="0" applyNumberFormat="1" applyFont="1" applyBorder="1" applyAlignment="1">
      <alignment horizontal="center"/>
    </xf>
    <xf numFmtId="4" fontId="28" fillId="0" borderId="3" xfId="0" applyNumberFormat="1" applyFont="1" applyBorder="1" applyAlignment="1">
      <alignment horizontal="center"/>
    </xf>
    <xf numFmtId="4" fontId="28" fillId="0" borderId="2" xfId="0" applyNumberFormat="1" applyFont="1" applyBorder="1" applyAlignment="1">
      <alignment horizontal="center"/>
    </xf>
    <xf numFmtId="4" fontId="28" fillId="0" borderId="85" xfId="0" applyNumberFormat="1" applyFont="1" applyBorder="1" applyAlignment="1">
      <alignment horizontal="center"/>
    </xf>
    <xf numFmtId="4" fontId="27" fillId="5" borderId="2" xfId="0" applyNumberFormat="1" applyFont="1" applyFill="1" applyBorder="1" applyAlignment="1">
      <alignment horizontal="center"/>
    </xf>
    <xf numFmtId="4" fontId="29" fillId="5" borderId="17" xfId="0" applyNumberFormat="1" applyFont="1" applyFill="1" applyBorder="1"/>
    <xf numFmtId="0" fontId="28" fillId="0" borderId="37" xfId="0" applyFont="1" applyBorder="1"/>
    <xf numFmtId="0" fontId="28" fillId="4" borderId="5" xfId="0" applyFont="1" applyFill="1" applyBorder="1" applyAlignment="1">
      <alignment horizontal="center"/>
    </xf>
    <xf numFmtId="4" fontId="28" fillId="4" borderId="1" xfId="0" applyNumberFormat="1" applyFont="1" applyFill="1" applyBorder="1" applyAlignment="1">
      <alignment horizontal="center"/>
    </xf>
    <xf numFmtId="4" fontId="28" fillId="4" borderId="26" xfId="0" applyNumberFormat="1" applyFont="1" applyFill="1" applyBorder="1" applyAlignment="1">
      <alignment horizontal="center"/>
    </xf>
    <xf numFmtId="4" fontId="28" fillId="4" borderId="4" xfId="0" applyNumberFormat="1" applyFont="1" applyFill="1" applyBorder="1" applyAlignment="1">
      <alignment horizontal="center"/>
    </xf>
    <xf numFmtId="4" fontId="28" fillId="4" borderId="5" xfId="0" applyNumberFormat="1" applyFont="1" applyFill="1" applyBorder="1" applyAlignment="1">
      <alignment horizontal="center"/>
    </xf>
    <xf numFmtId="4" fontId="29" fillId="5" borderId="18" xfId="0" applyNumberFormat="1" applyFont="1" applyFill="1" applyBorder="1"/>
    <xf numFmtId="0" fontId="18" fillId="0" borderId="63" xfId="0" applyFont="1" applyBorder="1"/>
    <xf numFmtId="0" fontId="28" fillId="0" borderId="5" xfId="0" applyFont="1" applyBorder="1" applyAlignment="1">
      <alignment horizontal="center"/>
    </xf>
    <xf numFmtId="2" fontId="28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2" fontId="28" fillId="0" borderId="4" xfId="0" applyNumberFormat="1" applyFont="1" applyBorder="1" applyAlignment="1">
      <alignment horizontal="center"/>
    </xf>
    <xf numFmtId="4" fontId="28" fillId="0" borderId="5" xfId="0" applyNumberFormat="1" applyFont="1" applyBorder="1" applyAlignment="1">
      <alignment horizontal="center"/>
    </xf>
    <xf numFmtId="4" fontId="28" fillId="0" borderId="1" xfId="0" applyNumberFormat="1" applyFont="1" applyBorder="1" applyAlignment="1">
      <alignment horizontal="center"/>
    </xf>
    <xf numFmtId="4" fontId="28" fillId="0" borderId="12" xfId="0" applyNumberFormat="1" applyFont="1" applyBorder="1" applyAlignment="1">
      <alignment horizontal="center"/>
    </xf>
    <xf numFmtId="4" fontId="28" fillId="4" borderId="63" xfId="0" applyNumberFormat="1" applyFont="1" applyFill="1" applyBorder="1" applyAlignment="1">
      <alignment horizontal="center"/>
    </xf>
    <xf numFmtId="4" fontId="28" fillId="4" borderId="15" xfId="0" applyNumberFormat="1" applyFont="1" applyFill="1" applyBorder="1" applyAlignment="1">
      <alignment horizontal="center"/>
    </xf>
    <xf numFmtId="4" fontId="28" fillId="0" borderId="63" xfId="0" applyNumberFormat="1" applyFont="1" applyBorder="1" applyAlignment="1">
      <alignment horizontal="center"/>
    </xf>
    <xf numFmtId="4" fontId="28" fillId="0" borderId="26" xfId="0" applyNumberFormat="1" applyFont="1" applyBorder="1" applyAlignment="1">
      <alignment horizontal="center"/>
    </xf>
    <xf numFmtId="4" fontId="28" fillId="0" borderId="15" xfId="0" applyNumberFormat="1" applyFont="1" applyBorder="1" applyAlignment="1">
      <alignment horizontal="center"/>
    </xf>
    <xf numFmtId="0" fontId="28" fillId="0" borderId="63" xfId="0" applyFont="1" applyBorder="1"/>
    <xf numFmtId="4" fontId="28" fillId="0" borderId="4" xfId="0" applyNumberFormat="1" applyFont="1" applyBorder="1" applyAlignment="1">
      <alignment horizontal="center"/>
    </xf>
    <xf numFmtId="4" fontId="28" fillId="0" borderId="27" xfId="0" applyNumberFormat="1" applyFont="1" applyBorder="1" applyAlignment="1">
      <alignment horizontal="center"/>
    </xf>
    <xf numFmtId="0" fontId="28" fillId="0" borderId="36" xfId="0" applyFont="1" applyBorder="1"/>
    <xf numFmtId="0" fontId="28" fillId="0" borderId="6" xfId="0" applyFont="1" applyBorder="1" applyAlignment="1">
      <alignment horizontal="center"/>
    </xf>
    <xf numFmtId="4" fontId="28" fillId="0" borderId="64" xfId="0" applyNumberFormat="1" applyFont="1" applyBorder="1" applyAlignment="1">
      <alignment horizontal="center"/>
    </xf>
    <xf numFmtId="4" fontId="28" fillId="0" borderId="7" xfId="0" applyNumberFormat="1" applyFont="1" applyBorder="1" applyAlignment="1">
      <alignment horizontal="center"/>
    </xf>
    <xf numFmtId="4" fontId="28" fillId="0" borderId="6" xfId="0" applyNumberFormat="1" applyFont="1" applyBorder="1" applyAlignment="1">
      <alignment horizontal="center"/>
    </xf>
    <xf numFmtId="4" fontId="28" fillId="0" borderId="86" xfId="0" applyNumberFormat="1" applyFont="1" applyBorder="1" applyAlignment="1">
      <alignment horizontal="center"/>
    </xf>
    <xf numFmtId="4" fontId="27" fillId="5" borderId="19" xfId="0" applyNumberFormat="1" applyFont="1" applyFill="1" applyBorder="1" applyAlignment="1">
      <alignment horizontal="center"/>
    </xf>
    <xf numFmtId="4" fontId="29" fillId="5" borderId="19" xfId="0" applyNumberFormat="1" applyFont="1" applyFill="1" applyBorder="1"/>
    <xf numFmtId="4" fontId="27" fillId="5" borderId="9" xfId="0" applyNumberFormat="1" applyFont="1" applyFill="1" applyBorder="1" applyAlignment="1">
      <alignment horizontal="center"/>
    </xf>
    <xf numFmtId="4" fontId="28" fillId="0" borderId="1" xfId="0" quotePrefix="1" applyNumberFormat="1" applyFont="1" applyBorder="1" applyAlignment="1">
      <alignment horizontal="center"/>
    </xf>
    <xf numFmtId="0" fontId="28" fillId="0" borderId="71" xfId="0" applyFont="1" applyBorder="1"/>
    <xf numFmtId="4" fontId="27" fillId="5" borderId="90" xfId="0" applyNumberFormat="1" applyFont="1" applyFill="1" applyBorder="1" applyAlignment="1">
      <alignment horizontal="center"/>
    </xf>
    <xf numFmtId="165" fontId="18" fillId="7" borderId="12" xfId="1" applyFont="1" applyFill="1" applyBorder="1" applyAlignment="1" applyProtection="1">
      <alignment horizontal="center" vertical="center"/>
      <protection locked="0"/>
    </xf>
    <xf numFmtId="43" fontId="28" fillId="7" borderId="12" xfId="3" applyFont="1" applyFill="1" applyBorder="1" applyAlignment="1" applyProtection="1">
      <alignment vertical="center"/>
      <protection locked="0"/>
    </xf>
    <xf numFmtId="0" fontId="18" fillId="0" borderId="0" xfId="0" applyFont="1"/>
    <xf numFmtId="43" fontId="18" fillId="7" borderId="27" xfId="1" applyNumberFormat="1" applyFont="1" applyFill="1" applyBorder="1" applyAlignment="1" applyProtection="1">
      <alignment horizontal="center" vertical="center"/>
      <protection locked="0"/>
    </xf>
    <xf numFmtId="43" fontId="18" fillId="7" borderId="12" xfId="1" applyNumberFormat="1" applyFont="1" applyFill="1" applyBorder="1" applyAlignment="1" applyProtection="1">
      <alignment horizontal="center" vertical="center"/>
      <protection locked="0"/>
    </xf>
    <xf numFmtId="43" fontId="18" fillId="7" borderId="1" xfId="1" applyNumberFormat="1" applyFont="1" applyFill="1" applyBorder="1" applyAlignment="1" applyProtection="1">
      <alignment horizontal="center" vertical="center"/>
      <protection locked="0"/>
    </xf>
    <xf numFmtId="4" fontId="18" fillId="7" borderId="12" xfId="3" applyNumberFormat="1" applyFont="1" applyFill="1" applyBorder="1" applyAlignment="1" applyProtection="1">
      <alignment horizontal="center" vertical="center"/>
      <protection locked="0"/>
    </xf>
    <xf numFmtId="4" fontId="27" fillId="5" borderId="17" xfId="0" applyNumberFormat="1" applyFont="1" applyFill="1" applyBorder="1" applyAlignment="1">
      <alignment horizontal="center"/>
    </xf>
    <xf numFmtId="4" fontId="28" fillId="0" borderId="62" xfId="0" applyNumberFormat="1" applyFont="1" applyBorder="1" applyAlignment="1">
      <alignment horizontal="center"/>
    </xf>
    <xf numFmtId="4" fontId="28" fillId="0" borderId="32" xfId="0" applyNumberFormat="1" applyFont="1" applyBorder="1" applyAlignment="1">
      <alignment horizontal="center"/>
    </xf>
    <xf numFmtId="4" fontId="27" fillId="5" borderId="18" xfId="0" applyNumberFormat="1" applyFont="1" applyFill="1" applyBorder="1" applyAlignment="1">
      <alignment horizontal="center"/>
    </xf>
    <xf numFmtId="4" fontId="28" fillId="0" borderId="28" xfId="0" applyNumberFormat="1" applyFont="1" applyBorder="1" applyAlignment="1">
      <alignment horizontal="center"/>
    </xf>
    <xf numFmtId="43" fontId="29" fillId="0" borderId="0" xfId="0" applyNumberFormat="1" applyFont="1" applyAlignment="1">
      <alignment horizontal="center"/>
    </xf>
    <xf numFmtId="43" fontId="11" fillId="0" borderId="1" xfId="2" applyNumberFormat="1" applyFont="1" applyBorder="1" applyAlignment="1">
      <alignment horizontal="center"/>
    </xf>
    <xf numFmtId="43" fontId="11" fillId="4" borderId="1" xfId="2" applyNumberFormat="1" applyFont="1" applyFill="1" applyBorder="1" applyAlignment="1">
      <alignment horizontal="center"/>
    </xf>
    <xf numFmtId="43" fontId="11" fillId="0" borderId="1" xfId="2" applyNumberFormat="1" applyFont="1" applyFill="1" applyBorder="1" applyAlignment="1">
      <alignment horizontal="center"/>
    </xf>
    <xf numFmtId="0" fontId="11" fillId="0" borderId="59" xfId="0" applyFont="1" applyBorder="1"/>
    <xf numFmtId="44" fontId="11" fillId="0" borderId="55" xfId="1" applyNumberFormat="1" applyFont="1" applyFill="1" applyBorder="1" applyAlignment="1">
      <alignment horizontal="center" vertical="center"/>
    </xf>
    <xf numFmtId="0" fontId="11" fillId="0" borderId="55" xfId="0" applyFont="1" applyBorder="1" applyAlignment="1">
      <alignment horizontal="left" vertical="center"/>
    </xf>
    <xf numFmtId="9" fontId="11" fillId="0" borderId="39" xfId="2" applyFont="1" applyFill="1" applyBorder="1" applyAlignment="1">
      <alignment horizontal="center" vertical="center"/>
    </xf>
    <xf numFmtId="0" fontId="11" fillId="0" borderId="52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50" xfId="0" applyFont="1" applyBorder="1" applyAlignment="1">
      <alignment horizontal="centerContinuous" vertical="center"/>
    </xf>
    <xf numFmtId="0" fontId="11" fillId="0" borderId="39" xfId="0" applyFont="1" applyBorder="1" applyAlignment="1">
      <alignment horizontal="centerContinuous" vertical="center"/>
    </xf>
    <xf numFmtId="0" fontId="11" fillId="0" borderId="40" xfId="0" applyFont="1" applyBorder="1" applyAlignment="1">
      <alignment horizontal="centerContinuous" vertical="center"/>
    </xf>
    <xf numFmtId="44" fontId="11" fillId="0" borderId="56" xfId="1" applyNumberFormat="1" applyFont="1" applyFill="1" applyBorder="1" applyAlignment="1">
      <alignment horizontal="center" vertical="center"/>
    </xf>
    <xf numFmtId="44" fontId="11" fillId="0" borderId="11" xfId="1" applyNumberFormat="1" applyFont="1" applyFill="1" applyBorder="1" applyAlignment="1">
      <alignment horizontal="center" vertical="center"/>
    </xf>
    <xf numFmtId="0" fontId="11" fillId="0" borderId="57" xfId="0" applyFont="1" applyBorder="1" applyAlignment="1">
      <alignment horizontal="left" vertical="center"/>
    </xf>
    <xf numFmtId="165" fontId="11" fillId="0" borderId="56" xfId="1" applyFont="1" applyFill="1" applyBorder="1" applyAlignment="1">
      <alignment horizontal="center" vertical="center"/>
    </xf>
    <xf numFmtId="0" fontId="11" fillId="0" borderId="60" xfId="0" applyFont="1" applyBorder="1" applyAlignment="1">
      <alignment horizontal="left" vertical="center"/>
    </xf>
    <xf numFmtId="0" fontId="11" fillId="8" borderId="0" xfId="0" applyFont="1" applyFill="1"/>
    <xf numFmtId="0" fontId="37" fillId="0" borderId="0" xfId="0" applyFont="1"/>
    <xf numFmtId="43" fontId="0" fillId="4" borderId="0" xfId="0" applyNumberFormat="1" applyFill="1" applyProtection="1">
      <protection locked="0"/>
    </xf>
    <xf numFmtId="44" fontId="11" fillId="6" borderId="52" xfId="1" applyNumberFormat="1" applyFont="1" applyFill="1" applyBorder="1" applyAlignment="1">
      <alignment horizontal="center" vertical="center"/>
    </xf>
    <xf numFmtId="44" fontId="11" fillId="6" borderId="48" xfId="1" applyNumberFormat="1" applyFont="1" applyFill="1" applyBorder="1" applyAlignment="1">
      <alignment horizontal="center" vertical="center"/>
    </xf>
    <xf numFmtId="0" fontId="12" fillId="3" borderId="24" xfId="0" applyFont="1" applyFill="1" applyBorder="1"/>
    <xf numFmtId="167" fontId="11" fillId="0" borderId="1" xfId="0" applyNumberFormat="1" applyFont="1" applyBorder="1" applyAlignment="1">
      <alignment horizontal="center"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43" fontId="11" fillId="0" borderId="1" xfId="0" applyNumberFormat="1" applyFont="1" applyBorder="1" applyAlignment="1">
      <alignment vertical="center" wrapText="1"/>
    </xf>
    <xf numFmtId="0" fontId="12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 wrapText="1"/>
    </xf>
    <xf numFmtId="43" fontId="11" fillId="0" borderId="12" xfId="0" applyNumberFormat="1" applyFont="1" applyBorder="1" applyAlignment="1">
      <alignment horizontal="center" vertical="center" wrapText="1"/>
    </xf>
    <xf numFmtId="43" fontId="11" fillId="0" borderId="27" xfId="0" applyNumberFormat="1" applyFont="1" applyBorder="1" applyAlignment="1">
      <alignment horizontal="center" vertical="center" wrapText="1"/>
    </xf>
    <xf numFmtId="43" fontId="12" fillId="0" borderId="1" xfId="0" applyNumberFormat="1" applyFont="1" applyBorder="1" applyAlignment="1">
      <alignment horizontal="right" vertical="center" wrapText="1"/>
    </xf>
    <xf numFmtId="0" fontId="12" fillId="0" borderId="26" xfId="0" applyFont="1" applyBorder="1" applyAlignment="1">
      <alignment horizontal="left"/>
    </xf>
    <xf numFmtId="43" fontId="12" fillId="0" borderId="0" xfId="0" applyNumberFormat="1" applyFont="1" applyAlignment="1">
      <alignment horizontal="center"/>
    </xf>
    <xf numFmtId="0" fontId="12" fillId="5" borderId="20" xfId="0" applyFont="1" applyFill="1" applyBorder="1"/>
    <xf numFmtId="43" fontId="12" fillId="5" borderId="11" xfId="0" applyNumberFormat="1" applyFont="1" applyFill="1" applyBorder="1"/>
    <xf numFmtId="0" fontId="11" fillId="0" borderId="31" xfId="0" applyFont="1" applyBorder="1" applyAlignment="1">
      <alignment horizontal="left" vertical="center"/>
    </xf>
    <xf numFmtId="0" fontId="11" fillId="9" borderId="0" xfId="0" applyFont="1" applyFill="1" applyAlignment="1">
      <alignment horizontal="left" vertical="center"/>
    </xf>
    <xf numFmtId="0" fontId="11" fillId="0" borderId="88" xfId="0" applyFont="1" applyBorder="1"/>
    <xf numFmtId="0" fontId="11" fillId="0" borderId="87" xfId="0" applyFont="1" applyBorder="1"/>
    <xf numFmtId="0" fontId="11" fillId="9" borderId="87" xfId="0" applyFont="1" applyFill="1" applyBorder="1"/>
    <xf numFmtId="0" fontId="11" fillId="0" borderId="104" xfId="0" applyFont="1" applyBorder="1" applyAlignment="1">
      <alignment horizontal="left" vertical="center"/>
    </xf>
    <xf numFmtId="4" fontId="29" fillId="5" borderId="67" xfId="0" applyNumberFormat="1" applyFont="1" applyFill="1" applyBorder="1"/>
    <xf numFmtId="4" fontId="29" fillId="5" borderId="69" xfId="0" applyNumberFormat="1" applyFont="1" applyFill="1" applyBorder="1"/>
    <xf numFmtId="0" fontId="12" fillId="5" borderId="22" xfId="0" applyFont="1" applyFill="1" applyBorder="1" applyAlignment="1" applyProtection="1">
      <alignment horizontal="left"/>
      <protection locked="0"/>
    </xf>
    <xf numFmtId="0" fontId="11" fillId="5" borderId="89" xfId="0" applyFont="1" applyFill="1" applyBorder="1"/>
    <xf numFmtId="0" fontId="12" fillId="0" borderId="0" xfId="0" applyFont="1" applyAlignment="1" applyProtection="1">
      <alignment horizontal="left"/>
      <protection locked="0"/>
    </xf>
    <xf numFmtId="0" fontId="12" fillId="5" borderId="22" xfId="0" applyFont="1" applyFill="1" applyBorder="1" applyAlignment="1" applyProtection="1">
      <alignment horizontal="left" vertical="center" wrapText="1"/>
      <protection locked="0"/>
    </xf>
    <xf numFmtId="0" fontId="12" fillId="5" borderId="22" xfId="0" applyFont="1" applyFill="1" applyBorder="1"/>
    <xf numFmtId="43" fontId="12" fillId="5" borderId="20" xfId="0" applyNumberFormat="1" applyFont="1" applyFill="1" applyBorder="1"/>
    <xf numFmtId="0" fontId="12" fillId="5" borderId="11" xfId="0" applyFont="1" applyFill="1" applyBorder="1" applyAlignment="1">
      <alignment horizontal="center" vertical="center" wrapText="1"/>
    </xf>
    <xf numFmtId="43" fontId="12" fillId="5" borderId="11" xfId="0" applyNumberFormat="1" applyFont="1" applyFill="1" applyBorder="1" applyAlignment="1">
      <alignment horizontal="center" vertical="center" wrapText="1"/>
    </xf>
    <xf numFmtId="0" fontId="11" fillId="5" borderId="20" xfId="0" applyFont="1" applyFill="1" applyBorder="1"/>
    <xf numFmtId="4" fontId="27" fillId="5" borderId="106" xfId="0" applyNumberFormat="1" applyFont="1" applyFill="1" applyBorder="1" applyAlignment="1">
      <alignment horizontal="center"/>
    </xf>
    <xf numFmtId="0" fontId="29" fillId="5" borderId="0" xfId="0" applyFont="1" applyFill="1" applyAlignment="1">
      <alignment horizontal="center" vertical="center" wrapText="1"/>
    </xf>
    <xf numFmtId="43" fontId="29" fillId="5" borderId="0" xfId="0" applyNumberFormat="1" applyFont="1" applyFill="1" applyAlignment="1">
      <alignment horizontal="center" vertical="center" wrapText="1"/>
    </xf>
    <xf numFmtId="4" fontId="28" fillId="0" borderId="36" xfId="0" applyNumberFormat="1" applyFont="1" applyBorder="1" applyAlignment="1">
      <alignment horizontal="center"/>
    </xf>
    <xf numFmtId="4" fontId="28" fillId="0" borderId="71" xfId="0" applyNumberFormat="1" applyFont="1" applyBorder="1" applyAlignment="1">
      <alignment horizontal="center"/>
    </xf>
    <xf numFmtId="4" fontId="27" fillId="5" borderId="5" xfId="0" applyNumberFormat="1" applyFont="1" applyFill="1" applyBorder="1" applyAlignment="1">
      <alignment horizontal="center"/>
    </xf>
    <xf numFmtId="4" fontId="27" fillId="5" borderId="6" xfId="0" applyNumberFormat="1" applyFont="1" applyFill="1" applyBorder="1" applyAlignment="1">
      <alignment horizontal="center"/>
    </xf>
    <xf numFmtId="43" fontId="11" fillId="0" borderId="35" xfId="0" applyNumberFormat="1" applyFont="1" applyBorder="1"/>
    <xf numFmtId="4" fontId="27" fillId="5" borderId="105" xfId="0" applyNumberFormat="1" applyFont="1" applyFill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/>
    <xf numFmtId="0" fontId="11" fillId="0" borderId="108" xfId="0" applyFont="1" applyBorder="1" applyAlignment="1">
      <alignment wrapText="1"/>
    </xf>
    <xf numFmtId="0" fontId="11" fillId="0" borderId="110" xfId="0" applyFont="1" applyBorder="1" applyAlignment="1">
      <alignment horizontal="center"/>
    </xf>
    <xf numFmtId="43" fontId="11" fillId="0" borderId="109" xfId="0" applyNumberFormat="1" applyFont="1" applyBorder="1"/>
    <xf numFmtId="164" fontId="11" fillId="0" borderId="108" xfId="0" applyNumberFormat="1" applyFont="1" applyBorder="1"/>
    <xf numFmtId="0" fontId="11" fillId="0" borderId="110" xfId="0" applyFont="1" applyBorder="1" applyAlignment="1">
      <alignment horizontal="center" wrapText="1"/>
    </xf>
    <xf numFmtId="43" fontId="11" fillId="0" borderId="110" xfId="0" applyNumberFormat="1" applyFont="1" applyBorder="1" applyAlignment="1">
      <alignment horizontal="center"/>
    </xf>
    <xf numFmtId="43" fontId="11" fillId="0" borderId="108" xfId="0" applyNumberFormat="1" applyFont="1" applyBorder="1"/>
    <xf numFmtId="0" fontId="11" fillId="0" borderId="109" xfId="0" applyFont="1" applyBorder="1" applyAlignment="1">
      <alignment horizontal="center" wrapText="1"/>
    </xf>
    <xf numFmtId="43" fontId="12" fillId="5" borderId="11" xfId="0" applyNumberFormat="1" applyFont="1" applyFill="1" applyBorder="1" applyAlignment="1">
      <alignment horizontal="center"/>
    </xf>
    <xf numFmtId="43" fontId="12" fillId="5" borderId="29" xfId="0" applyNumberFormat="1" applyFont="1" applyFill="1" applyBorder="1" applyAlignment="1">
      <alignment horizontal="center"/>
    </xf>
    <xf numFmtId="43" fontId="12" fillId="5" borderId="21" xfId="0" applyNumberFormat="1" applyFont="1" applyFill="1" applyBorder="1" applyAlignment="1">
      <alignment horizontal="center"/>
    </xf>
    <xf numFmtId="43" fontId="11" fillId="0" borderId="107" xfId="0" applyNumberFormat="1" applyFont="1" applyBorder="1"/>
    <xf numFmtId="43" fontId="12" fillId="0" borderId="10" xfId="0" applyNumberFormat="1" applyFont="1" applyBorder="1"/>
    <xf numFmtId="4" fontId="28" fillId="0" borderId="108" xfId="0" applyNumberFormat="1" applyFont="1" applyBorder="1" applyAlignment="1">
      <alignment horizontal="center"/>
    </xf>
    <xf numFmtId="4" fontId="28" fillId="0" borderId="111" xfId="0" applyNumberFormat="1" applyFont="1" applyBorder="1" applyAlignment="1">
      <alignment horizontal="center"/>
    </xf>
    <xf numFmtId="4" fontId="28" fillId="0" borderId="109" xfId="0" applyNumberFormat="1" applyFont="1" applyBorder="1" applyAlignment="1">
      <alignment horizontal="center"/>
    </xf>
    <xf numFmtId="4" fontId="28" fillId="0" borderId="0" xfId="0" applyNumberFormat="1" applyFont="1" applyAlignment="1">
      <alignment horizontal="center"/>
    </xf>
    <xf numFmtId="43" fontId="11" fillId="0" borderId="7" xfId="0" applyNumberFormat="1" applyFont="1" applyBorder="1" applyAlignment="1">
      <alignment horizontal="center"/>
    </xf>
    <xf numFmtId="43" fontId="11" fillId="0" borderId="4" xfId="0" applyNumberFormat="1" applyFont="1" applyBorder="1" applyAlignment="1">
      <alignment horizontal="center"/>
    </xf>
    <xf numFmtId="43" fontId="11" fillId="0" borderId="8" xfId="0" applyNumberFormat="1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11" fillId="0" borderId="108" xfId="0" applyFont="1" applyBorder="1"/>
    <xf numFmtId="43" fontId="11" fillId="0" borderId="108" xfId="0" applyNumberFormat="1" applyFont="1" applyBorder="1" applyAlignment="1">
      <alignment horizontal="center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0" fontId="11" fillId="0" borderId="64" xfId="0" applyFont="1" applyBorder="1"/>
    <xf numFmtId="43" fontId="11" fillId="0" borderId="64" xfId="0" applyNumberFormat="1" applyFont="1" applyBorder="1" applyAlignment="1">
      <alignment horizontal="center"/>
    </xf>
    <xf numFmtId="0" fontId="11" fillId="0" borderId="10" xfId="0" applyFont="1" applyBorder="1"/>
    <xf numFmtId="43" fontId="11" fillId="0" borderId="10" xfId="0" applyNumberFormat="1" applyFont="1" applyBorder="1" applyAlignment="1">
      <alignment horizontal="center"/>
    </xf>
    <xf numFmtId="43" fontId="18" fillId="7" borderId="15" xfId="1" applyNumberFormat="1" applyFont="1" applyFill="1" applyBorder="1" applyAlignment="1" applyProtection="1">
      <alignment horizontal="center" vertical="center"/>
      <protection locked="0"/>
    </xf>
    <xf numFmtId="43" fontId="12" fillId="5" borderId="13" xfId="0" applyNumberFormat="1" applyFont="1" applyFill="1" applyBorder="1" applyAlignment="1">
      <alignment horizontal="center"/>
    </xf>
    <xf numFmtId="0" fontId="12" fillId="34" borderId="30" xfId="0" applyFont="1" applyFill="1" applyBorder="1" applyAlignment="1" applyProtection="1">
      <alignment horizontal="center"/>
      <protection locked="0"/>
    </xf>
    <xf numFmtId="0" fontId="11" fillId="34" borderId="31" xfId="0" applyFont="1" applyFill="1" applyBorder="1"/>
    <xf numFmtId="43" fontId="11" fillId="34" borderId="31" xfId="0" applyNumberFormat="1" applyFont="1" applyFill="1" applyBorder="1" applyAlignment="1">
      <alignment horizontal="center"/>
    </xf>
    <xf numFmtId="43" fontId="11" fillId="34" borderId="11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0" fillId="0" borderId="111" xfId="0" applyBorder="1"/>
    <xf numFmtId="0" fontId="0" fillId="0" borderId="1" xfId="0" applyBorder="1"/>
    <xf numFmtId="0" fontId="18" fillId="0" borderId="2" xfId="0" applyFont="1" applyBorder="1" applyAlignment="1">
      <alignment horizontal="center" vertical="center" wrapText="1"/>
    </xf>
    <xf numFmtId="0" fontId="18" fillId="4" borderId="58" xfId="0" applyFont="1" applyFill="1" applyBorder="1" applyAlignment="1">
      <alignment horizontal="center" vertical="center" wrapText="1"/>
    </xf>
    <xf numFmtId="0" fontId="18" fillId="0" borderId="58" xfId="0" applyFont="1" applyBorder="1" applyAlignment="1">
      <alignment horizontal="center" vertical="center" wrapText="1"/>
    </xf>
    <xf numFmtId="0" fontId="18" fillId="4" borderId="59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8" borderId="111" xfId="0" applyFont="1" applyFill="1" applyBorder="1"/>
    <xf numFmtId="0" fontId="0" fillId="8" borderId="1" xfId="0" applyFill="1" applyBorder="1"/>
    <xf numFmtId="0" fontId="0" fillId="5" borderId="1" xfId="0" applyFill="1" applyBorder="1"/>
    <xf numFmtId="0" fontId="18" fillId="0" borderId="6" xfId="0" applyFont="1" applyBorder="1" applyAlignment="1">
      <alignment horizontal="center" textRotation="90" wrapText="1"/>
    </xf>
    <xf numFmtId="0" fontId="18" fillId="0" borderId="64" xfId="0" applyFont="1" applyBorder="1" applyAlignment="1">
      <alignment horizontal="center" textRotation="90" wrapText="1"/>
    </xf>
    <xf numFmtId="0" fontId="18" fillId="0" borderId="88" xfId="0" applyFont="1" applyBorder="1" applyAlignment="1">
      <alignment horizontal="center" textRotation="90" wrapText="1"/>
    </xf>
    <xf numFmtId="0" fontId="18" fillId="0" borderId="7" xfId="0" applyFont="1" applyBorder="1" applyAlignment="1">
      <alignment horizontal="center" textRotation="90" wrapText="1"/>
    </xf>
    <xf numFmtId="0" fontId="28" fillId="0" borderId="27" xfId="0" applyFont="1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18" fillId="0" borderId="17" xfId="0" applyFont="1" applyBorder="1"/>
    <xf numFmtId="0" fontId="18" fillId="0" borderId="32" xfId="0" applyFont="1" applyBorder="1" applyAlignment="1">
      <alignment horizontal="center" vertical="center" wrapText="1"/>
    </xf>
    <xf numFmtId="0" fontId="18" fillId="4" borderId="114" xfId="0" applyFont="1" applyFill="1" applyBorder="1" applyAlignment="1">
      <alignment horizontal="center" vertical="center" wrapText="1"/>
    </xf>
    <xf numFmtId="0" fontId="18" fillId="0" borderId="58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58" xfId="0" applyFont="1" applyBorder="1" applyAlignment="1">
      <alignment horizontal="center" vertical="center"/>
    </xf>
    <xf numFmtId="0" fontId="18" fillId="4" borderId="91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43" fontId="18" fillId="5" borderId="61" xfId="0" applyNumberFormat="1" applyFont="1" applyFill="1" applyBorder="1"/>
    <xf numFmtId="43" fontId="18" fillId="0" borderId="5" xfId="0" applyNumberFormat="1" applyFont="1" applyBorder="1"/>
    <xf numFmtId="43" fontId="18" fillId="0" borderId="27" xfId="0" applyNumberFormat="1" applyFont="1" applyBorder="1"/>
    <xf numFmtId="43" fontId="18" fillId="0" borderId="109" xfId="0" applyNumberFormat="1" applyFont="1" applyBorder="1"/>
    <xf numFmtId="43" fontId="18" fillId="0" borderId="17" xfId="0" applyNumberFormat="1" applyFont="1" applyBorder="1"/>
    <xf numFmtId="10" fontId="7" fillId="0" borderId="111" xfId="2" applyNumberFormat="1" applyFill="1" applyBorder="1" applyProtection="1"/>
    <xf numFmtId="10" fontId="0" fillId="0" borderId="1" xfId="0" applyNumberFormat="1" applyBorder="1"/>
    <xf numFmtId="10" fontId="7" fillId="9" borderId="1" xfId="2" applyNumberFormat="1" applyFill="1" applyBorder="1" applyProtection="1"/>
    <xf numFmtId="10" fontId="7" fillId="33" borderId="1" xfId="2" applyNumberFormat="1" applyFill="1" applyBorder="1" applyProtection="1"/>
    <xf numFmtId="0" fontId="15" fillId="4" borderId="0" xfId="0" applyFont="1" applyFill="1"/>
    <xf numFmtId="43" fontId="35" fillId="9" borderId="0" xfId="0" applyNumberFormat="1" applyFont="1" applyFill="1"/>
    <xf numFmtId="0" fontId="18" fillId="0" borderId="18" xfId="0" applyFont="1" applyBorder="1"/>
    <xf numFmtId="0" fontId="18" fillId="0" borderId="2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18" fillId="4" borderId="108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3" fontId="18" fillId="5" borderId="15" xfId="0" applyNumberFormat="1" applyFont="1" applyFill="1" applyBorder="1"/>
    <xf numFmtId="43" fontId="18" fillId="0" borderId="18" xfId="0" applyNumberFormat="1" applyFont="1" applyBorder="1"/>
    <xf numFmtId="43" fontId="0" fillId="0" borderId="0" xfId="0" applyNumberFormat="1"/>
    <xf numFmtId="0" fontId="18" fillId="0" borderId="26" xfId="0" applyFont="1" applyBorder="1" applyAlignment="1">
      <alignment horizontal="center" vertical="center"/>
    </xf>
    <xf numFmtId="0" fontId="18" fillId="4" borderId="18" xfId="0" applyFont="1" applyFill="1" applyBorder="1"/>
    <xf numFmtId="0" fontId="18" fillId="0" borderId="27" xfId="0" applyFont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08" xfId="0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19" xfId="0" applyFont="1" applyFill="1" applyBorder="1"/>
    <xf numFmtId="0" fontId="18" fillId="0" borderId="28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18" fillId="4" borderId="86" xfId="0" applyFont="1" applyFill="1" applyBorder="1" applyAlignment="1">
      <alignment horizontal="center" vertical="center" wrapText="1"/>
    </xf>
    <xf numFmtId="0" fontId="18" fillId="0" borderId="64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4" borderId="64" xfId="0" applyFont="1" applyFill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3" fontId="18" fillId="5" borderId="16" xfId="0" applyNumberFormat="1" applyFont="1" applyFill="1" applyBorder="1"/>
    <xf numFmtId="43" fontId="18" fillId="0" borderId="86" xfId="0" applyNumberFormat="1" applyFont="1" applyBorder="1"/>
    <xf numFmtId="43" fontId="18" fillId="0" borderId="19" xfId="0" applyNumberFormat="1" applyFont="1" applyBorder="1"/>
    <xf numFmtId="0" fontId="18" fillId="0" borderId="69" xfId="0" applyFont="1" applyBorder="1"/>
    <xf numFmtId="0" fontId="18" fillId="0" borderId="2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8" fillId="4" borderId="35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28" fillId="4" borderId="87" xfId="0" applyFont="1" applyFill="1" applyBorder="1" applyAlignment="1">
      <alignment horizontal="center" vertical="center"/>
    </xf>
    <xf numFmtId="0" fontId="28" fillId="4" borderId="10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28" fillId="4" borderId="25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43" fontId="18" fillId="5" borderId="116" xfId="0" applyNumberFormat="1" applyFont="1" applyFill="1" applyBorder="1"/>
    <xf numFmtId="43" fontId="18" fillId="5" borderId="70" xfId="0" applyNumberFormat="1" applyFont="1" applyFill="1" applyBorder="1"/>
    <xf numFmtId="43" fontId="18" fillId="0" borderId="23" xfId="0" applyNumberFormat="1" applyFont="1" applyBorder="1"/>
    <xf numFmtId="43" fontId="18" fillId="0" borderId="69" xfId="0" applyNumberFormat="1" applyFont="1" applyBorder="1"/>
    <xf numFmtId="0" fontId="28" fillId="4" borderId="26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0" fontId="35" fillId="0" borderId="0" xfId="0" applyFont="1"/>
    <xf numFmtId="43" fontId="36" fillId="0" borderId="0" xfId="0" applyNumberFormat="1" applyFont="1"/>
    <xf numFmtId="0" fontId="18" fillId="0" borderId="19" xfId="0" applyFont="1" applyBorder="1"/>
    <xf numFmtId="0" fontId="18" fillId="0" borderId="28" xfId="0" applyFont="1" applyBorder="1" applyAlignment="1">
      <alignment horizontal="center" vertical="center"/>
    </xf>
    <xf numFmtId="0" fontId="28" fillId="4" borderId="86" xfId="0" applyFont="1" applyFill="1" applyBorder="1" applyAlignment="1">
      <alignment horizontal="center" vertical="center"/>
    </xf>
    <xf numFmtId="0" fontId="28" fillId="4" borderId="88" xfId="0" applyFont="1" applyFill="1" applyBorder="1" applyAlignment="1">
      <alignment horizontal="center" vertical="center"/>
    </xf>
    <xf numFmtId="0" fontId="28" fillId="0" borderId="64" xfId="0" applyFont="1" applyBorder="1" applyAlignment="1">
      <alignment horizontal="center" vertical="center"/>
    </xf>
    <xf numFmtId="0" fontId="28" fillId="4" borderId="8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43" fontId="18" fillId="5" borderId="55" xfId="0" applyNumberFormat="1" applyFont="1" applyFill="1" applyBorder="1"/>
    <xf numFmtId="43" fontId="18" fillId="0" borderId="112" xfId="0" applyNumberFormat="1" applyFont="1" applyBorder="1"/>
    <xf numFmtId="43" fontId="18" fillId="0" borderId="103" xfId="0" applyNumberFormat="1" applyFont="1" applyBorder="1"/>
    <xf numFmtId="0" fontId="18" fillId="5" borderId="25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28" fillId="5" borderId="58" xfId="0" applyFont="1" applyFill="1" applyBorder="1" applyAlignment="1">
      <alignment horizontal="center" vertical="center"/>
    </xf>
    <xf numFmtId="0" fontId="28" fillId="5" borderId="85" xfId="0" applyFont="1" applyFill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43" fontId="29" fillId="5" borderId="61" xfId="0" applyNumberFormat="1" applyFont="1" applyFill="1" applyBorder="1" applyAlignment="1">
      <alignment vertical="center"/>
    </xf>
    <xf numFmtId="43" fontId="29" fillId="5" borderId="67" xfId="0" applyNumberFormat="1" applyFont="1" applyFill="1" applyBorder="1" applyAlignment="1">
      <alignment vertical="center"/>
    </xf>
    <xf numFmtId="43" fontId="29" fillId="0" borderId="5" xfId="0" applyNumberFormat="1" applyFont="1" applyBorder="1" applyAlignment="1">
      <alignment horizontal="center" vertical="center"/>
    </xf>
    <xf numFmtId="43" fontId="18" fillId="0" borderId="113" xfId="0" applyNumberFormat="1" applyFont="1" applyBorder="1"/>
    <xf numFmtId="43" fontId="18" fillId="0" borderId="0" xfId="0" applyNumberFormat="1" applyFont="1"/>
    <xf numFmtId="10" fontId="18" fillId="0" borderId="0" xfId="0" applyNumberFormat="1" applyFont="1"/>
    <xf numFmtId="10" fontId="0" fillId="0" borderId="0" xfId="0" applyNumberFormat="1"/>
    <xf numFmtId="43" fontId="29" fillId="5" borderId="55" xfId="0" applyNumberFormat="1" applyFont="1" applyFill="1" applyBorder="1" applyAlignment="1">
      <alignment vertical="center"/>
    </xf>
    <xf numFmtId="43" fontId="29" fillId="5" borderId="82" xfId="0" applyNumberFormat="1" applyFont="1" applyFill="1" applyBorder="1" applyAlignment="1">
      <alignment vertical="center"/>
    </xf>
    <xf numFmtId="43" fontId="18" fillId="5" borderId="28" xfId="1" applyNumberFormat="1" applyFont="1" applyFill="1" applyBorder="1" applyAlignment="1" applyProtection="1">
      <alignment horizontal="center" vertical="center"/>
    </xf>
    <xf numFmtId="43" fontId="18" fillId="5" borderId="64" xfId="1" applyNumberFormat="1" applyFont="1" applyFill="1" applyBorder="1" applyAlignment="1" applyProtection="1">
      <alignment horizontal="center" vertical="center"/>
    </xf>
    <xf numFmtId="43" fontId="18" fillId="5" borderId="14" xfId="1" applyNumberFormat="1" applyFont="1" applyFill="1" applyBorder="1" applyAlignment="1" applyProtection="1">
      <alignment horizontal="center" vertical="center"/>
    </xf>
    <xf numFmtId="43" fontId="18" fillId="5" borderId="86" xfId="1" applyNumberFormat="1" applyFont="1" applyFill="1" applyBorder="1" applyAlignment="1" applyProtection="1">
      <alignment horizontal="center" vertical="center"/>
    </xf>
    <xf numFmtId="43" fontId="18" fillId="5" borderId="7" xfId="1" applyNumberFormat="1" applyFont="1" applyFill="1" applyBorder="1" applyAlignment="1" applyProtection="1">
      <alignment horizontal="center" vertical="center"/>
    </xf>
    <xf numFmtId="43" fontId="29" fillId="5" borderId="47" xfId="0" applyNumberFormat="1" applyFont="1" applyFill="1" applyBorder="1" applyAlignment="1">
      <alignment vertical="center"/>
    </xf>
    <xf numFmtId="43" fontId="29" fillId="5" borderId="83" xfId="0" applyNumberFormat="1" applyFont="1" applyFill="1" applyBorder="1" applyAlignment="1">
      <alignment vertical="center"/>
    </xf>
    <xf numFmtId="43" fontId="18" fillId="0" borderId="24" xfId="0" applyNumberFormat="1" applyFont="1" applyBorder="1"/>
    <xf numFmtId="0" fontId="0" fillId="8" borderId="0" xfId="0" applyFill="1"/>
    <xf numFmtId="0" fontId="29" fillId="5" borderId="27" xfId="4" applyFont="1" applyFill="1" applyBorder="1" applyAlignment="1">
      <alignment horizontal="center" vertical="center"/>
    </xf>
    <xf numFmtId="0" fontId="29" fillId="5" borderId="1" xfId="5" applyFont="1" applyFill="1" applyBorder="1" applyAlignment="1">
      <alignment horizontal="center" vertical="center"/>
    </xf>
    <xf numFmtId="0" fontId="29" fillId="5" borderId="1" xfId="5" applyFont="1" applyFill="1" applyBorder="1" applyAlignment="1">
      <alignment horizontal="center" vertical="center" wrapText="1"/>
    </xf>
    <xf numFmtId="0" fontId="29" fillId="5" borderId="1" xfId="4" applyFont="1" applyFill="1" applyBorder="1" applyAlignment="1">
      <alignment horizontal="center" vertical="center" wrapText="1"/>
    </xf>
    <xf numFmtId="0" fontId="29" fillId="5" borderId="26" xfId="5" applyFont="1" applyFill="1" applyBorder="1" applyAlignment="1">
      <alignment horizontal="center" vertical="center" wrapText="1"/>
    </xf>
    <xf numFmtId="0" fontId="18" fillId="4" borderId="12" xfId="4" applyFont="1" applyFill="1" applyBorder="1" applyAlignment="1">
      <alignment horizontal="center" vertical="center" wrapText="1"/>
    </xf>
    <xf numFmtId="0" fontId="18" fillId="0" borderId="12" xfId="0" applyFont="1" applyBorder="1"/>
    <xf numFmtId="0" fontId="18" fillId="4" borderId="12" xfId="3" applyNumberFormat="1" applyFont="1" applyFill="1" applyBorder="1" applyAlignment="1" applyProtection="1">
      <alignment horizontal="center" vertical="center" wrapText="1"/>
    </xf>
    <xf numFmtId="165" fontId="18" fillId="4" borderId="12" xfId="1" applyFont="1" applyFill="1" applyBorder="1" applyAlignment="1" applyProtection="1">
      <alignment horizontal="center" vertical="center"/>
    </xf>
    <xf numFmtId="165" fontId="29" fillId="5" borderId="1" xfId="0" applyNumberFormat="1" applyFont="1" applyFill="1" applyBorder="1"/>
    <xf numFmtId="165" fontId="29" fillId="5" borderId="26" xfId="1" applyFont="1" applyFill="1" applyBorder="1" applyProtection="1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27" fillId="4" borderId="12" xfId="0" applyFont="1" applyFill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justify" vertical="center"/>
    </xf>
    <xf numFmtId="0" fontId="28" fillId="4" borderId="12" xfId="0" applyFont="1" applyFill="1" applyBorder="1" applyAlignment="1">
      <alignment vertical="center" wrapText="1"/>
    </xf>
    <xf numFmtId="0" fontId="28" fillId="0" borderId="12" xfId="0" applyFont="1" applyBorder="1" applyAlignment="1">
      <alignment horizontal="center" vertical="center"/>
    </xf>
    <xf numFmtId="0" fontId="28" fillId="4" borderId="12" xfId="0" applyFont="1" applyFill="1" applyBorder="1" applyAlignment="1">
      <alignment horizontal="right" vertical="center"/>
    </xf>
    <xf numFmtId="2" fontId="28" fillId="4" borderId="12" xfId="0" applyNumberFormat="1" applyFont="1" applyFill="1" applyBorder="1" applyAlignment="1">
      <alignment horizontal="right" vertical="center" indent="2"/>
    </xf>
    <xf numFmtId="0" fontId="28" fillId="4" borderId="12" xfId="0" applyFont="1" applyFill="1" applyBorder="1"/>
    <xf numFmtId="2" fontId="27" fillId="4" borderId="12" xfId="0" applyNumberFormat="1" applyFont="1" applyFill="1" applyBorder="1" applyAlignment="1">
      <alignment horizontal="right" vertical="center" indent="2"/>
    </xf>
    <xf numFmtId="0" fontId="18" fillId="0" borderId="0" xfId="0" applyFont="1" applyAlignment="1">
      <alignment horizontal="center"/>
    </xf>
    <xf numFmtId="0" fontId="27" fillId="4" borderId="12" xfId="0" applyFont="1" applyFill="1" applyBorder="1" applyAlignment="1">
      <alignment horizontal="center" vertical="center"/>
    </xf>
    <xf numFmtId="0" fontId="28" fillId="0" borderId="12" xfId="0" applyFont="1" applyBorder="1"/>
    <xf numFmtId="0" fontId="28" fillId="0" borderId="12" xfId="0" applyFont="1" applyBorder="1" applyAlignment="1">
      <alignment horizontal="center" vertical="center" wrapText="1"/>
    </xf>
    <xf numFmtId="43" fontId="28" fillId="4" borderId="12" xfId="0" applyNumberFormat="1" applyFont="1" applyFill="1" applyBorder="1" applyAlignment="1">
      <alignment vertical="center"/>
    </xf>
    <xf numFmtId="43" fontId="28" fillId="0" borderId="12" xfId="3" applyFont="1" applyFill="1" applyBorder="1" applyAlignment="1" applyProtection="1">
      <alignment vertical="center"/>
    </xf>
    <xf numFmtId="2" fontId="27" fillId="4" borderId="12" xfId="0" applyNumberFormat="1" applyFont="1" applyFill="1" applyBorder="1" applyAlignment="1">
      <alignment vertical="center"/>
    </xf>
    <xf numFmtId="0" fontId="18" fillId="4" borderId="0" xfId="0" applyFont="1" applyFill="1" applyAlignment="1">
      <alignment horizontal="center"/>
    </xf>
    <xf numFmtId="0" fontId="18" fillId="4" borderId="0" xfId="0" applyFont="1" applyFill="1"/>
    <xf numFmtId="0" fontId="29" fillId="0" borderId="12" xfId="0" applyFont="1" applyBorder="1"/>
    <xf numFmtId="2" fontId="29" fillId="5" borderId="12" xfId="0" applyNumberFormat="1" applyFont="1" applyFill="1" applyBorder="1" applyAlignment="1">
      <alignment horizontal="center"/>
    </xf>
    <xf numFmtId="0" fontId="29" fillId="4" borderId="31" xfId="4" applyFont="1" applyFill="1" applyBorder="1" applyAlignment="1">
      <alignment horizontal="center" vertical="center" wrapText="1"/>
    </xf>
    <xf numFmtId="0" fontId="29" fillId="4" borderId="12" xfId="4" applyFont="1" applyFill="1" applyBorder="1" applyAlignment="1">
      <alignment horizontal="center" vertical="center" wrapText="1"/>
    </xf>
    <xf numFmtId="0" fontId="29" fillId="4" borderId="12" xfId="5" applyFont="1" applyFill="1" applyBorder="1" applyAlignment="1">
      <alignment horizontal="center" vertical="center" wrapText="1"/>
    </xf>
    <xf numFmtId="0" fontId="32" fillId="4" borderId="12" xfId="5" applyFont="1" applyFill="1" applyBorder="1" applyAlignment="1">
      <alignment horizontal="center" vertical="center" wrapText="1"/>
    </xf>
    <xf numFmtId="0" fontId="33" fillId="4" borderId="12" xfId="5" applyFont="1" applyFill="1" applyBorder="1" applyAlignment="1">
      <alignment horizontal="left" vertical="center" wrapText="1"/>
    </xf>
    <xf numFmtId="0" fontId="33" fillId="0" borderId="12" xfId="5" applyFont="1" applyBorder="1" applyAlignment="1">
      <alignment horizontal="center" vertical="center" wrapText="1"/>
    </xf>
    <xf numFmtId="4" fontId="18" fillId="4" borderId="12" xfId="3" applyNumberFormat="1" applyFont="1" applyFill="1" applyBorder="1" applyAlignment="1" applyProtection="1">
      <alignment horizontal="center" vertical="center"/>
    </xf>
    <xf numFmtId="4" fontId="18" fillId="5" borderId="12" xfId="3" applyNumberFormat="1" applyFont="1" applyFill="1" applyBorder="1" applyAlignment="1" applyProtection="1">
      <alignment horizontal="right" vertical="center" indent="2"/>
    </xf>
    <xf numFmtId="0" fontId="18" fillId="5" borderId="12" xfId="3" applyNumberFormat="1" applyFont="1" applyFill="1" applyBorder="1" applyAlignment="1" applyProtection="1">
      <alignment horizontal="center" vertical="center" wrapText="1"/>
    </xf>
    <xf numFmtId="4" fontId="29" fillId="5" borderId="12" xfId="3" applyNumberFormat="1" applyFont="1" applyFill="1" applyBorder="1" applyAlignment="1" applyProtection="1">
      <alignment horizontal="center" vertical="center"/>
    </xf>
    <xf numFmtId="0" fontId="27" fillId="0" borderId="0" xfId="0" applyFont="1" applyAlignment="1">
      <alignment horizontal="left" vertical="center" wrapText="1"/>
    </xf>
    <xf numFmtId="4" fontId="18" fillId="0" borderId="0" xfId="3" applyNumberFormat="1" applyFont="1" applyFill="1" applyBorder="1" applyAlignment="1" applyProtection="1">
      <alignment horizontal="right" vertical="center" indent="2"/>
    </xf>
    <xf numFmtId="0" fontId="18" fillId="0" borderId="0" xfId="3" applyNumberFormat="1" applyFont="1" applyFill="1" applyBorder="1" applyAlignment="1" applyProtection="1">
      <alignment horizontal="center" vertical="center" wrapText="1"/>
    </xf>
    <xf numFmtId="4" fontId="29" fillId="0" borderId="0" xfId="3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0" fontId="29" fillId="0" borderId="12" xfId="4" applyFont="1" applyBorder="1" applyAlignment="1">
      <alignment horizontal="center" vertical="center" wrapText="1"/>
    </xf>
    <xf numFmtId="0" fontId="29" fillId="0" borderId="12" xfId="5" applyFont="1" applyBorder="1" applyAlignment="1">
      <alignment horizontal="center" vertical="center" wrapText="1"/>
    </xf>
    <xf numFmtId="0" fontId="32" fillId="0" borderId="12" xfId="5" applyFont="1" applyBorder="1" applyAlignment="1">
      <alignment horizontal="center" vertical="center" wrapText="1"/>
    </xf>
    <xf numFmtId="4" fontId="18" fillId="0" borderId="12" xfId="3" applyNumberFormat="1" applyFont="1" applyFill="1" applyBorder="1" applyAlignment="1" applyProtection="1">
      <alignment horizontal="center" vertical="center"/>
    </xf>
    <xf numFmtId="4" fontId="17" fillId="0" borderId="0" xfId="0" applyNumberFormat="1" applyFont="1"/>
    <xf numFmtId="0" fontId="29" fillId="4" borderId="34" xfId="4" applyFont="1" applyFill="1" applyBorder="1" applyAlignment="1">
      <alignment horizontal="center" vertical="center" wrapText="1"/>
    </xf>
    <xf numFmtId="0" fontId="29" fillId="4" borderId="34" xfId="5" applyFont="1" applyFill="1" applyBorder="1" applyAlignment="1">
      <alignment horizontal="center" vertical="center" wrapText="1"/>
    </xf>
    <xf numFmtId="0" fontId="32" fillId="4" borderId="34" xfId="5" applyFont="1" applyFill="1" applyBorder="1" applyAlignment="1">
      <alignment horizontal="center" vertical="center" wrapText="1"/>
    </xf>
    <xf numFmtId="0" fontId="33" fillId="4" borderId="12" xfId="5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wrapText="1"/>
    </xf>
    <xf numFmtId="0" fontId="28" fillId="0" borderId="24" xfId="0" applyFont="1" applyBorder="1"/>
    <xf numFmtId="0" fontId="28" fillId="0" borderId="24" xfId="0" applyFont="1" applyBorder="1" applyAlignment="1">
      <alignment horizontal="justify" vertical="center"/>
    </xf>
    <xf numFmtId="4" fontId="18" fillId="5" borderId="14" xfId="3" applyNumberFormat="1" applyFont="1" applyFill="1" applyBorder="1" applyAlignment="1" applyProtection="1">
      <alignment horizontal="right" vertical="center" indent="2"/>
    </xf>
    <xf numFmtId="0" fontId="18" fillId="5" borderId="14" xfId="3" applyNumberFormat="1" applyFont="1" applyFill="1" applyBorder="1" applyAlignment="1" applyProtection="1">
      <alignment horizontal="center" vertical="center" wrapText="1"/>
    </xf>
    <xf numFmtId="4" fontId="29" fillId="5" borderId="14" xfId="3" applyNumberFormat="1" applyFont="1" applyFill="1" applyBorder="1" applyAlignment="1" applyProtection="1">
      <alignment horizontal="center" vertical="center"/>
    </xf>
    <xf numFmtId="0" fontId="29" fillId="4" borderId="0" xfId="4" applyFont="1" applyFill="1" applyAlignment="1">
      <alignment vertical="center"/>
    </xf>
    <xf numFmtId="0" fontId="29" fillId="4" borderId="0" xfId="4" applyFont="1" applyFill="1" applyAlignment="1">
      <alignment horizontal="center" vertical="center"/>
    </xf>
    <xf numFmtId="4" fontId="29" fillId="4" borderId="0" xfId="4" applyNumberFormat="1" applyFont="1" applyFill="1" applyAlignment="1">
      <alignment horizontal="right" vertical="center" indent="2"/>
    </xf>
    <xf numFmtId="4" fontId="29" fillId="4" borderId="0" xfId="3" applyNumberFormat="1" applyFont="1" applyFill="1" applyAlignment="1" applyProtection="1">
      <alignment horizontal="right" vertical="center" indent="2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19" fillId="4" borderId="0" xfId="0" applyFont="1" applyFill="1"/>
    <xf numFmtId="0" fontId="17" fillId="4" borderId="0" xfId="0" applyFont="1" applyFill="1"/>
    <xf numFmtId="43" fontId="17" fillId="4" borderId="0" xfId="0" applyNumberFormat="1" applyFont="1" applyFill="1"/>
    <xf numFmtId="43" fontId="59" fillId="0" borderId="0" xfId="0" applyNumberFormat="1" applyFont="1" applyAlignment="1">
      <alignment horizontal="center"/>
    </xf>
    <xf numFmtId="0" fontId="60" fillId="0" borderId="0" xfId="0" applyFont="1" applyAlignment="1" applyProtection="1">
      <alignment horizontal="left"/>
      <protection locked="0"/>
    </xf>
    <xf numFmtId="0" fontId="12" fillId="0" borderId="31" xfId="0" applyFont="1" applyBorder="1" applyAlignment="1">
      <alignment horizontal="center"/>
    </xf>
    <xf numFmtId="0" fontId="12" fillId="5" borderId="22" xfId="0" applyFont="1" applyFill="1" applyBorder="1" applyAlignment="1" applyProtection="1">
      <alignment horizontal="center"/>
      <protection locked="0"/>
    </xf>
    <xf numFmtId="0" fontId="12" fillId="5" borderId="20" xfId="0" applyFont="1" applyFill="1" applyBorder="1" applyAlignment="1" applyProtection="1">
      <alignment horizontal="center"/>
      <protection locked="0"/>
    </xf>
    <xf numFmtId="0" fontId="12" fillId="5" borderId="13" xfId="0" applyFont="1" applyFill="1" applyBorder="1" applyAlignment="1" applyProtection="1">
      <alignment horizontal="center"/>
      <protection locked="0"/>
    </xf>
    <xf numFmtId="0" fontId="29" fillId="5" borderId="0" xfId="0" applyFont="1" applyFill="1" applyAlignment="1">
      <alignment horizontal="center"/>
    </xf>
    <xf numFmtId="0" fontId="34" fillId="10" borderId="84" xfId="0" applyFont="1" applyFill="1" applyBorder="1" applyAlignment="1">
      <alignment horizontal="center" vertical="center" wrapText="1"/>
    </xf>
    <xf numFmtId="0" fontId="34" fillId="10" borderId="87" xfId="0" applyFont="1" applyFill="1" applyBorder="1" applyAlignment="1">
      <alignment horizontal="center" vertical="center" wrapText="1"/>
    </xf>
    <xf numFmtId="0" fontId="34" fillId="10" borderId="35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67" xfId="0" applyFont="1" applyFill="1" applyBorder="1" applyAlignment="1">
      <alignment horizontal="center" vertical="center"/>
    </xf>
    <xf numFmtId="0" fontId="12" fillId="5" borderId="83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0" fontId="12" fillId="4" borderId="24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left"/>
    </xf>
    <xf numFmtId="0" fontId="11" fillId="4" borderId="12" xfId="0" applyFont="1" applyFill="1" applyBorder="1" applyAlignment="1">
      <alignment horizontal="left"/>
    </xf>
    <xf numFmtId="0" fontId="11" fillId="4" borderId="27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12" fillId="4" borderId="23" xfId="0" applyFont="1" applyFill="1" applyBorder="1" applyAlignment="1">
      <alignment horizontal="center"/>
    </xf>
    <xf numFmtId="0" fontId="11" fillId="4" borderId="26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3" borderId="0" xfId="0" applyFont="1" applyFill="1" applyAlignment="1">
      <alignment horizontal="left"/>
    </xf>
    <xf numFmtId="0" fontId="12" fillId="5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12" fillId="4" borderId="0" xfId="0" applyFont="1" applyFill="1" applyAlignment="1">
      <alignment horizontal="left" wrapText="1"/>
    </xf>
    <xf numFmtId="0" fontId="12" fillId="5" borderId="26" xfId="0" applyFont="1" applyFill="1" applyBorder="1" applyAlignment="1">
      <alignment horizontal="left"/>
    </xf>
    <xf numFmtId="0" fontId="12" fillId="5" borderId="12" xfId="0" applyFont="1" applyFill="1" applyBorder="1" applyAlignment="1">
      <alignment horizontal="left"/>
    </xf>
    <xf numFmtId="0" fontId="12" fillId="5" borderId="27" xfId="0" applyFont="1" applyFill="1" applyBorder="1" applyAlignment="1">
      <alignment horizontal="left"/>
    </xf>
    <xf numFmtId="0" fontId="12" fillId="0" borderId="24" xfId="0" applyFont="1" applyBorder="1" applyAlignment="1">
      <alignment horizontal="left"/>
    </xf>
    <xf numFmtId="0" fontId="12" fillId="5" borderId="26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3" borderId="37" xfId="0" applyFont="1" applyFill="1" applyBorder="1" applyAlignment="1">
      <alignment horizontal="left" wrapText="1"/>
    </xf>
    <xf numFmtId="0" fontId="12" fillId="3" borderId="24" xfId="0" applyFont="1" applyFill="1" applyBorder="1" applyAlignment="1">
      <alignment horizontal="left" wrapText="1"/>
    </xf>
    <xf numFmtId="0" fontId="11" fillId="0" borderId="1" xfId="0" applyFont="1" applyBorder="1"/>
    <xf numFmtId="0" fontId="11" fillId="4" borderId="1" xfId="0" applyFont="1" applyFill="1" applyBorder="1"/>
    <xf numFmtId="0" fontId="11" fillId="0" borderId="38" xfId="0" applyFont="1" applyBorder="1"/>
    <xf numFmtId="0" fontId="11" fillId="0" borderId="10" xfId="0" applyFont="1" applyBorder="1"/>
    <xf numFmtId="0" fontId="11" fillId="0" borderId="26" xfId="0" quotePrefix="1" applyFont="1" applyBorder="1" applyAlignment="1">
      <alignment horizontal="left"/>
    </xf>
    <xf numFmtId="0" fontId="11" fillId="0" borderId="12" xfId="0" quotePrefix="1" applyFont="1" applyBorder="1" applyAlignment="1">
      <alignment horizontal="left"/>
    </xf>
    <xf numFmtId="0" fontId="11" fillId="0" borderId="27" xfId="0" quotePrefix="1" applyFont="1" applyBorder="1" applyAlignment="1">
      <alignment horizontal="left"/>
    </xf>
    <xf numFmtId="0" fontId="12" fillId="4" borderId="24" xfId="0" applyFont="1" applyFill="1" applyBorder="1" applyAlignment="1">
      <alignment horizontal="left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3" borderId="24" xfId="0" applyFont="1" applyFill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12" fillId="3" borderId="36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4" borderId="26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left"/>
    </xf>
    <xf numFmtId="0" fontId="12" fillId="4" borderId="27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left" vertical="center"/>
    </xf>
    <xf numFmtId="0" fontId="11" fillId="4" borderId="27" xfId="0" applyFont="1" applyFill="1" applyBorder="1" applyAlignment="1">
      <alignment horizontal="left" vertical="center"/>
    </xf>
    <xf numFmtId="43" fontId="11" fillId="4" borderId="1" xfId="0" applyNumberFormat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27" xfId="0" applyFont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58" xfId="0" applyFont="1" applyFill="1" applyBorder="1" applyAlignment="1">
      <alignment horizontal="center" vertical="center"/>
    </xf>
    <xf numFmtId="0" fontId="11" fillId="5" borderId="58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43" fontId="11" fillId="4" borderId="26" xfId="0" applyNumberFormat="1" applyFont="1" applyFill="1" applyBorder="1" applyAlignment="1">
      <alignment horizontal="right" vertical="center" wrapText="1"/>
    </xf>
    <xf numFmtId="43" fontId="11" fillId="4" borderId="27" xfId="0" applyNumberFormat="1" applyFont="1" applyFill="1" applyBorder="1" applyAlignment="1">
      <alignment horizontal="right" vertical="center" wrapText="1"/>
    </xf>
    <xf numFmtId="43" fontId="11" fillId="4" borderId="1" xfId="0" applyNumberFormat="1" applyFont="1" applyFill="1" applyBorder="1" applyAlignment="1">
      <alignment vertical="center" wrapText="1"/>
    </xf>
    <xf numFmtId="43" fontId="11" fillId="4" borderId="26" xfId="0" applyNumberFormat="1" applyFont="1" applyFill="1" applyBorder="1" applyAlignment="1">
      <alignment horizontal="center" vertical="center" wrapText="1"/>
    </xf>
    <xf numFmtId="43" fontId="11" fillId="4" borderId="1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26" fillId="0" borderId="5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0" fontId="26" fillId="0" borderId="71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5" fillId="0" borderId="62" xfId="0" applyFont="1" applyBorder="1" applyAlignment="1">
      <alignment horizontal="center" vertical="center"/>
    </xf>
    <xf numFmtId="0" fontId="25" fillId="0" borderId="91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 wrapText="1"/>
    </xf>
    <xf numFmtId="0" fontId="26" fillId="0" borderId="8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43" fontId="26" fillId="0" borderId="38" xfId="0" applyNumberFormat="1" applyFont="1" applyBorder="1" applyAlignment="1">
      <alignment horizontal="center" vertical="center"/>
    </xf>
    <xf numFmtId="43" fontId="26" fillId="0" borderId="87" xfId="0" applyNumberFormat="1" applyFont="1" applyBorder="1" applyAlignment="1">
      <alignment horizontal="center" vertical="center"/>
    </xf>
    <xf numFmtId="43" fontId="26" fillId="0" borderId="10" xfId="0" applyNumberFormat="1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43" fontId="12" fillId="0" borderId="4" xfId="0" applyNumberFormat="1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63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36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left" vertical="center" wrapText="1"/>
    </xf>
    <xf numFmtId="0" fontId="26" fillId="0" borderId="52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11" fillId="5" borderId="72" xfId="0" applyFont="1" applyFill="1" applyBorder="1" applyAlignment="1">
      <alignment horizontal="center" vertical="center"/>
    </xf>
    <xf numFmtId="0" fontId="11" fillId="5" borderId="73" xfId="0" applyFont="1" applyFill="1" applyBorder="1" applyAlignment="1">
      <alignment horizontal="center" vertical="center"/>
    </xf>
    <xf numFmtId="0" fontId="11" fillId="5" borderId="73" xfId="0" applyFont="1" applyFill="1" applyBorder="1" applyAlignment="1">
      <alignment horizontal="center"/>
    </xf>
    <xf numFmtId="0" fontId="11" fillId="5" borderId="75" xfId="0" applyFont="1" applyFill="1" applyBorder="1" applyAlignment="1">
      <alignment horizontal="center"/>
    </xf>
    <xf numFmtId="0" fontId="11" fillId="6" borderId="76" xfId="0" applyFont="1" applyFill="1" applyBorder="1" applyAlignment="1">
      <alignment horizontal="center" vertical="center"/>
    </xf>
    <xf numFmtId="0" fontId="11" fillId="4" borderId="49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6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43" fontId="11" fillId="0" borderId="26" xfId="0" applyNumberFormat="1" applyFont="1" applyBorder="1" applyAlignment="1">
      <alignment horizontal="center"/>
    </xf>
    <xf numFmtId="43" fontId="11" fillId="0" borderId="27" xfId="0" applyNumberFormat="1" applyFont="1" applyBorder="1" applyAlignment="1">
      <alignment horizontal="center"/>
    </xf>
    <xf numFmtId="0" fontId="11" fillId="0" borderId="63" xfId="0" applyFont="1" applyBorder="1" applyAlignment="1">
      <alignment horizontal="center"/>
    </xf>
    <xf numFmtId="0" fontId="11" fillId="6" borderId="44" xfId="0" applyFont="1" applyFill="1" applyBorder="1" applyAlignment="1">
      <alignment horizontal="left" vertical="center" wrapText="1"/>
    </xf>
    <xf numFmtId="0" fontId="11" fillId="6" borderId="45" xfId="0" applyFont="1" applyFill="1" applyBorder="1" applyAlignment="1">
      <alignment horizontal="left" vertical="center" wrapText="1"/>
    </xf>
    <xf numFmtId="0" fontId="11" fillId="6" borderId="92" xfId="0" applyFont="1" applyFill="1" applyBorder="1" applyAlignment="1">
      <alignment horizontal="left" vertical="center" wrapText="1"/>
    </xf>
    <xf numFmtId="0" fontId="11" fillId="6" borderId="93" xfId="0" applyFont="1" applyFill="1" applyBorder="1" applyAlignment="1">
      <alignment horizontal="left" vertical="center" wrapText="1"/>
    </xf>
    <xf numFmtId="0" fontId="11" fillId="0" borderId="109" xfId="0" applyFont="1" applyBorder="1" applyAlignment="1">
      <alignment horizontal="center" vertical="center"/>
    </xf>
    <xf numFmtId="0" fontId="11" fillId="0" borderId="111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43" fontId="11" fillId="0" borderId="12" xfId="0" applyNumberFormat="1" applyFont="1" applyBorder="1" applyAlignment="1">
      <alignment horizontal="center"/>
    </xf>
    <xf numFmtId="43" fontId="11" fillId="0" borderId="109" xfId="0" applyNumberFormat="1" applyFont="1" applyBorder="1" applyAlignment="1">
      <alignment horizontal="center"/>
    </xf>
    <xf numFmtId="43" fontId="11" fillId="0" borderId="110" xfId="0" applyNumberFormat="1" applyFont="1" applyBorder="1" applyAlignment="1">
      <alignment horizontal="center"/>
    </xf>
    <xf numFmtId="43" fontId="11" fillId="0" borderId="111" xfId="0" applyNumberFormat="1" applyFont="1" applyBorder="1" applyAlignment="1">
      <alignment horizontal="center"/>
    </xf>
    <xf numFmtId="0" fontId="11" fillId="0" borderId="109" xfId="0" applyFont="1" applyBorder="1" applyAlignment="1">
      <alignment horizontal="center" wrapText="1"/>
    </xf>
    <xf numFmtId="0" fontId="11" fillId="0" borderId="110" xfId="0" applyFont="1" applyBorder="1" applyAlignment="1">
      <alignment horizontal="center"/>
    </xf>
    <xf numFmtId="0" fontId="11" fillId="0" borderId="111" xfId="0" applyFont="1" applyBorder="1" applyAlignment="1">
      <alignment horizontal="center"/>
    </xf>
    <xf numFmtId="0" fontId="12" fillId="0" borderId="12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2" fillId="2" borderId="26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left"/>
    </xf>
    <xf numFmtId="0" fontId="12" fillId="2" borderId="27" xfId="0" applyFont="1" applyFill="1" applyBorder="1" applyAlignment="1">
      <alignment horizontal="left"/>
    </xf>
    <xf numFmtId="0" fontId="11" fillId="0" borderId="44" xfId="0" applyFont="1" applyBorder="1" applyAlignment="1">
      <alignment horizontal="left" vertical="center" wrapText="1"/>
    </xf>
    <xf numFmtId="0" fontId="11" fillId="0" borderId="45" xfId="0" applyFont="1" applyBorder="1" applyAlignment="1">
      <alignment horizontal="left" vertical="center" wrapText="1"/>
    </xf>
    <xf numFmtId="0" fontId="11" fillId="0" borderId="92" xfId="0" applyFont="1" applyBorder="1" applyAlignment="1">
      <alignment horizontal="left" vertical="center" wrapText="1"/>
    </xf>
    <xf numFmtId="0" fontId="11" fillId="0" borderId="93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43" fontId="11" fillId="0" borderId="26" xfId="0" applyNumberFormat="1" applyFont="1" applyBorder="1" applyAlignment="1">
      <alignment horizontal="right" vertical="center" wrapText="1"/>
    </xf>
    <xf numFmtId="43" fontId="11" fillId="0" borderId="27" xfId="0" applyNumberFormat="1" applyFont="1" applyBorder="1" applyAlignment="1">
      <alignment horizontal="right" vertical="center" wrapText="1"/>
    </xf>
    <xf numFmtId="43" fontId="11" fillId="0" borderId="1" xfId="0" applyNumberFormat="1" applyFont="1" applyBorder="1" applyAlignment="1">
      <alignment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43" fontId="11" fillId="0" borderId="26" xfId="0" applyNumberFormat="1" applyFont="1" applyBorder="1" applyAlignment="1">
      <alignment horizontal="center" vertical="center" wrapText="1"/>
    </xf>
    <xf numFmtId="43" fontId="11" fillId="0" borderId="1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/>
    </xf>
    <xf numFmtId="0" fontId="29" fillId="5" borderId="12" xfId="4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left" vertical="center" wrapText="1"/>
    </xf>
    <xf numFmtId="0" fontId="29" fillId="5" borderId="14" xfId="4" applyFont="1" applyFill="1" applyBorder="1" applyAlignment="1">
      <alignment horizontal="left" vertical="center" wrapText="1"/>
    </xf>
    <xf numFmtId="0" fontId="29" fillId="5" borderId="20" xfId="4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right" vertical="center" wrapText="1"/>
    </xf>
    <xf numFmtId="0" fontId="29" fillId="5" borderId="12" xfId="0" applyFont="1" applyFill="1" applyBorder="1" applyAlignment="1">
      <alignment horizontal="center"/>
    </xf>
    <xf numFmtId="0" fontId="27" fillId="5" borderId="12" xfId="0" applyFont="1" applyFill="1" applyBorder="1" applyAlignment="1">
      <alignment horizontal="center" vertical="center"/>
    </xf>
    <xf numFmtId="0" fontId="27" fillId="4" borderId="12" xfId="0" applyFont="1" applyFill="1" applyBorder="1" applyAlignment="1">
      <alignment horizontal="right" vertical="center"/>
    </xf>
    <xf numFmtId="0" fontId="29" fillId="0" borderId="12" xfId="0" applyFont="1" applyBorder="1" applyAlignment="1">
      <alignment horizontal="left"/>
    </xf>
    <xf numFmtId="43" fontId="29" fillId="5" borderId="114" xfId="0" applyNumberFormat="1" applyFont="1" applyFill="1" applyBorder="1" applyAlignment="1">
      <alignment horizontal="center" vertical="center" wrapText="1"/>
    </xf>
    <xf numFmtId="43" fontId="29" fillId="5" borderId="35" xfId="0" applyNumberFormat="1" applyFont="1" applyFill="1" applyBorder="1" applyAlignment="1">
      <alignment horizontal="center" vertical="center" wrapText="1"/>
    </xf>
    <xf numFmtId="43" fontId="29" fillId="5" borderId="115" xfId="0" applyNumberFormat="1" applyFont="1" applyFill="1" applyBorder="1" applyAlignment="1">
      <alignment horizontal="center" vertical="center" wrapText="1"/>
    </xf>
    <xf numFmtId="0" fontId="29" fillId="5" borderId="67" xfId="0" applyFont="1" applyFill="1" applyBorder="1" applyAlignment="1">
      <alignment horizontal="center" vertical="center" wrapText="1"/>
    </xf>
    <xf numFmtId="0" fontId="29" fillId="5" borderId="82" xfId="0" applyFont="1" applyFill="1" applyBorder="1" applyAlignment="1">
      <alignment horizontal="center" vertical="center" wrapText="1"/>
    </xf>
    <xf numFmtId="0" fontId="29" fillId="5" borderId="83" xfId="0" applyFont="1" applyFill="1" applyBorder="1" applyAlignment="1">
      <alignment horizontal="center" vertical="center" wrapText="1"/>
    </xf>
    <xf numFmtId="0" fontId="27" fillId="5" borderId="62" xfId="0" applyFont="1" applyFill="1" applyBorder="1" applyAlignment="1">
      <alignment horizontal="center"/>
    </xf>
    <xf numFmtId="0" fontId="27" fillId="5" borderId="68" xfId="0" applyFont="1" applyFill="1" applyBorder="1" applyAlignment="1">
      <alignment horizontal="center"/>
    </xf>
    <xf numFmtId="0" fontId="27" fillId="5" borderId="63" xfId="0" applyFont="1" applyFill="1" applyBorder="1" applyAlignment="1">
      <alignment horizontal="center"/>
    </xf>
    <xf numFmtId="0" fontId="27" fillId="5" borderId="15" xfId="0" applyFont="1" applyFill="1" applyBorder="1" applyAlignment="1">
      <alignment horizontal="center"/>
    </xf>
    <xf numFmtId="0" fontId="27" fillId="5" borderId="71" xfId="0" applyFont="1" applyFill="1" applyBorder="1" applyAlignment="1">
      <alignment horizontal="center"/>
    </xf>
    <xf numFmtId="0" fontId="27" fillId="5" borderId="16" xfId="0" applyFont="1" applyFill="1" applyBorder="1" applyAlignment="1">
      <alignment horizontal="center"/>
    </xf>
    <xf numFmtId="0" fontId="27" fillId="5" borderId="22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0" fontId="27" fillId="5" borderId="49" xfId="0" applyFont="1" applyFill="1" applyBorder="1" applyAlignment="1">
      <alignment horizontal="center" vertical="center" textRotation="90"/>
    </xf>
    <xf numFmtId="0" fontId="27" fillId="5" borderId="52" xfId="0" applyFont="1" applyFill="1" applyBorder="1" applyAlignment="1">
      <alignment horizontal="center" vertical="center" textRotation="90"/>
    </xf>
    <xf numFmtId="0" fontId="27" fillId="5" borderId="49" xfId="0" applyFont="1" applyFill="1" applyBorder="1" applyAlignment="1">
      <alignment horizontal="center" vertical="center"/>
    </xf>
    <xf numFmtId="0" fontId="27" fillId="5" borderId="48" xfId="0" applyFont="1" applyFill="1" applyBorder="1" applyAlignment="1">
      <alignment horizontal="center" vertical="center"/>
    </xf>
    <xf numFmtId="0" fontId="27" fillId="5" borderId="52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27" fillId="5" borderId="30" xfId="0" applyFont="1" applyFill="1" applyBorder="1" applyAlignment="1">
      <alignment horizontal="center" vertical="center"/>
    </xf>
    <xf numFmtId="0" fontId="27" fillId="5" borderId="31" xfId="0" applyFont="1" applyFill="1" applyBorder="1" applyAlignment="1">
      <alignment horizontal="center" vertical="center"/>
    </xf>
    <xf numFmtId="0" fontId="27" fillId="5" borderId="61" xfId="0" applyFont="1" applyFill="1" applyBorder="1" applyAlignment="1">
      <alignment horizontal="center" vertical="center" wrapText="1"/>
    </xf>
    <xf numFmtId="0" fontId="27" fillId="5" borderId="55" xfId="0" applyFont="1" applyFill="1" applyBorder="1" applyAlignment="1">
      <alignment horizontal="center" vertical="center" wrapText="1"/>
    </xf>
    <xf numFmtId="0" fontId="27" fillId="5" borderId="47" xfId="0" applyFont="1" applyFill="1" applyBorder="1" applyAlignment="1">
      <alignment horizontal="center" vertical="center" wrapText="1"/>
    </xf>
    <xf numFmtId="0" fontId="27" fillId="5" borderId="30" xfId="0" applyFont="1" applyFill="1" applyBorder="1" applyAlignment="1">
      <alignment horizontal="center" vertical="center" textRotation="90"/>
    </xf>
    <xf numFmtId="43" fontId="29" fillId="5" borderId="67" xfId="0" applyNumberFormat="1" applyFont="1" applyFill="1" applyBorder="1" applyAlignment="1">
      <alignment horizontal="center" vertical="center"/>
    </xf>
    <xf numFmtId="43" fontId="29" fillId="5" borderId="82" xfId="0" applyNumberFormat="1" applyFont="1" applyFill="1" applyBorder="1" applyAlignment="1">
      <alignment horizontal="center" vertical="center"/>
    </xf>
    <xf numFmtId="43" fontId="29" fillId="5" borderId="83" xfId="0" applyNumberFormat="1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textRotation="90"/>
    </xf>
    <xf numFmtId="0" fontId="28" fillId="0" borderId="65" xfId="0" applyFont="1" applyBorder="1" applyAlignment="1">
      <alignment horizontal="center" vertical="center" textRotation="90"/>
    </xf>
    <xf numFmtId="0" fontId="28" fillId="0" borderId="3" xfId="0" applyFont="1" applyBorder="1" applyAlignment="1">
      <alignment horizontal="center" vertical="center" textRotation="90"/>
    </xf>
    <xf numFmtId="0" fontId="28" fillId="0" borderId="66" xfId="0" applyFont="1" applyBorder="1" applyAlignment="1">
      <alignment horizontal="center" vertical="center" textRotation="90"/>
    </xf>
    <xf numFmtId="0" fontId="28" fillId="4" borderId="58" xfId="0" applyFont="1" applyFill="1" applyBorder="1" applyAlignment="1">
      <alignment horizontal="center" vertical="center" textRotation="90"/>
    </xf>
    <xf numFmtId="0" fontId="28" fillId="4" borderId="38" xfId="0" applyFont="1" applyFill="1" applyBorder="1" applyAlignment="1">
      <alignment horizontal="center" vertical="center" textRotation="90"/>
    </xf>
    <xf numFmtId="0" fontId="28" fillId="0" borderId="58" xfId="0" applyFont="1" applyBorder="1" applyAlignment="1">
      <alignment horizontal="center" vertical="center" textRotation="90"/>
    </xf>
    <xf numFmtId="0" fontId="28" fillId="0" borderId="38" xfId="0" applyFont="1" applyBorder="1" applyAlignment="1">
      <alignment horizontal="center" vertical="center" textRotation="90"/>
    </xf>
    <xf numFmtId="0" fontId="28" fillId="0" borderId="58" xfId="0" applyFont="1" applyBorder="1" applyAlignment="1">
      <alignment horizontal="center" vertical="center" textRotation="90" wrapText="1"/>
    </xf>
    <xf numFmtId="0" fontId="28" fillId="0" borderId="38" xfId="0" applyFont="1" applyBorder="1" applyAlignment="1">
      <alignment horizontal="center" vertical="center" textRotation="90" wrapText="1"/>
    </xf>
    <xf numFmtId="0" fontId="28" fillId="0" borderId="3" xfId="0" applyFont="1" applyBorder="1" applyAlignment="1">
      <alignment horizontal="center" vertical="center" textRotation="90" wrapText="1"/>
    </xf>
    <xf numFmtId="0" fontId="28" fillId="0" borderId="66" xfId="0" applyFont="1" applyBorder="1" applyAlignment="1">
      <alignment horizontal="center" vertical="center" textRotation="90" wrapText="1"/>
    </xf>
    <xf numFmtId="0" fontId="27" fillId="5" borderId="3" xfId="0" applyFont="1" applyFill="1" applyBorder="1" applyAlignment="1">
      <alignment horizontal="center" vertical="center" textRotation="90"/>
    </xf>
    <xf numFmtId="0" fontId="27" fillId="5" borderId="66" xfId="0" applyFont="1" applyFill="1" applyBorder="1" applyAlignment="1">
      <alignment horizontal="center" vertical="center" textRotation="90"/>
    </xf>
    <xf numFmtId="0" fontId="28" fillId="0" borderId="2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center" vertical="center" textRotation="90"/>
    </xf>
    <xf numFmtId="0" fontId="28" fillId="4" borderId="66" xfId="0" applyFont="1" applyFill="1" applyBorder="1" applyAlignment="1">
      <alignment horizontal="center" vertical="center" textRotation="90"/>
    </xf>
    <xf numFmtId="0" fontId="28" fillId="4" borderId="2" xfId="0" applyFont="1" applyFill="1" applyBorder="1" applyAlignment="1">
      <alignment horizontal="center" vertical="center" textRotation="90"/>
    </xf>
    <xf numFmtId="0" fontId="28" fillId="4" borderId="65" xfId="0" applyFont="1" applyFill="1" applyBorder="1" applyAlignment="1">
      <alignment horizontal="center" vertical="center" textRotation="90"/>
    </xf>
    <xf numFmtId="0" fontId="27" fillId="5" borderId="22" xfId="0" applyFont="1" applyFill="1" applyBorder="1" applyAlignment="1">
      <alignment horizontal="center"/>
    </xf>
    <xf numFmtId="0" fontId="27" fillId="5" borderId="20" xfId="0" applyFont="1" applyFill="1" applyBorder="1" applyAlignment="1">
      <alignment horizontal="center"/>
    </xf>
    <xf numFmtId="0" fontId="27" fillId="5" borderId="13" xfId="0" applyFont="1" applyFill="1" applyBorder="1" applyAlignment="1">
      <alignment horizontal="center"/>
    </xf>
    <xf numFmtId="0" fontId="27" fillId="5" borderId="82" xfId="0" applyFont="1" applyFill="1" applyBorder="1" applyAlignment="1">
      <alignment horizontal="center" vertical="center" textRotation="90"/>
    </xf>
    <xf numFmtId="0" fontId="27" fillId="5" borderId="83" xfId="0" applyFont="1" applyFill="1" applyBorder="1" applyAlignment="1">
      <alignment horizontal="center" vertical="center" textRotation="90"/>
    </xf>
    <xf numFmtId="0" fontId="28" fillId="0" borderId="8" xfId="0" applyFont="1" applyBorder="1" applyAlignment="1">
      <alignment horizontal="center" vertical="center" textRotation="90"/>
    </xf>
    <xf numFmtId="0" fontId="28" fillId="0" borderId="10" xfId="0" applyFont="1" applyBorder="1" applyAlignment="1">
      <alignment horizontal="center" vertical="center" textRotation="90"/>
    </xf>
    <xf numFmtId="0" fontId="28" fillId="0" borderId="9" xfId="0" applyFont="1" applyBorder="1" applyAlignment="1">
      <alignment horizontal="center" vertical="center" textRotation="90"/>
    </xf>
    <xf numFmtId="0" fontId="28" fillId="0" borderId="23" xfId="0" applyFont="1" applyBorder="1" applyAlignment="1">
      <alignment horizontal="center" vertical="center" textRotation="90" wrapText="1"/>
    </xf>
    <xf numFmtId="0" fontId="28" fillId="0" borderId="33" xfId="0" applyFont="1" applyBorder="1" applyAlignment="1">
      <alignment horizontal="center" vertical="center" textRotation="90" wrapText="1"/>
    </xf>
  </cellXfs>
  <cellStyles count="2983">
    <cellStyle name="20% - Ênfase1 2" xfId="14" xr:uid="{00000000-0005-0000-0000-000000000000}"/>
    <cellStyle name="20% - Ênfase1 2 2" xfId="15" xr:uid="{00000000-0005-0000-0000-000001000000}"/>
    <cellStyle name="20% - Ênfase1 3" xfId="16" xr:uid="{00000000-0005-0000-0000-000002000000}"/>
    <cellStyle name="20% - Ênfase1 3 2" xfId="17" xr:uid="{00000000-0005-0000-0000-000003000000}"/>
    <cellStyle name="20% - Ênfase2 2" xfId="18" xr:uid="{00000000-0005-0000-0000-000004000000}"/>
    <cellStyle name="20% - Ênfase2 2 2" xfId="19" xr:uid="{00000000-0005-0000-0000-000005000000}"/>
    <cellStyle name="20% - Ênfase2 3" xfId="20" xr:uid="{00000000-0005-0000-0000-000006000000}"/>
    <cellStyle name="20% - Ênfase2 3 2" xfId="21" xr:uid="{00000000-0005-0000-0000-000007000000}"/>
    <cellStyle name="20% - Ênfase3 2" xfId="22" xr:uid="{00000000-0005-0000-0000-000008000000}"/>
    <cellStyle name="20% - Ênfase3 2 2" xfId="23" xr:uid="{00000000-0005-0000-0000-000009000000}"/>
    <cellStyle name="20% - Ênfase3 3" xfId="24" xr:uid="{00000000-0005-0000-0000-00000A000000}"/>
    <cellStyle name="20% - Ênfase3 3 2" xfId="25" xr:uid="{00000000-0005-0000-0000-00000B000000}"/>
    <cellStyle name="20% - Ênfase4 2" xfId="26" xr:uid="{00000000-0005-0000-0000-00000C000000}"/>
    <cellStyle name="20% - Ênfase4 2 2" xfId="27" xr:uid="{00000000-0005-0000-0000-00000D000000}"/>
    <cellStyle name="20% - Ênfase4 3" xfId="28" xr:uid="{00000000-0005-0000-0000-00000E000000}"/>
    <cellStyle name="20% - Ênfase4 3 2" xfId="29" xr:uid="{00000000-0005-0000-0000-00000F000000}"/>
    <cellStyle name="20% - Ênfase5 2" xfId="30" xr:uid="{00000000-0005-0000-0000-000010000000}"/>
    <cellStyle name="20% - Ênfase5 2 2" xfId="31" xr:uid="{00000000-0005-0000-0000-000011000000}"/>
    <cellStyle name="20% - Ênfase5 3" xfId="32" xr:uid="{00000000-0005-0000-0000-000012000000}"/>
    <cellStyle name="20% - Ênfase5 3 2" xfId="33" xr:uid="{00000000-0005-0000-0000-000013000000}"/>
    <cellStyle name="20% - Ênfase6 2" xfId="34" xr:uid="{00000000-0005-0000-0000-000014000000}"/>
    <cellStyle name="20% - Ênfase6 2 2" xfId="35" xr:uid="{00000000-0005-0000-0000-000015000000}"/>
    <cellStyle name="20% - Ênfase6 3" xfId="36" xr:uid="{00000000-0005-0000-0000-000016000000}"/>
    <cellStyle name="20% - Ênfase6 3 2" xfId="37" xr:uid="{00000000-0005-0000-0000-000017000000}"/>
    <cellStyle name="40% - Ênfase1 2" xfId="38" xr:uid="{00000000-0005-0000-0000-000018000000}"/>
    <cellStyle name="40% - Ênfase1 2 2" xfId="39" xr:uid="{00000000-0005-0000-0000-000019000000}"/>
    <cellStyle name="40% - Ênfase1 3" xfId="40" xr:uid="{00000000-0005-0000-0000-00001A000000}"/>
    <cellStyle name="40% - Ênfase1 3 2" xfId="41" xr:uid="{00000000-0005-0000-0000-00001B000000}"/>
    <cellStyle name="40% - Ênfase2 2" xfId="42" xr:uid="{00000000-0005-0000-0000-00001C000000}"/>
    <cellStyle name="40% - Ênfase2 2 2" xfId="43" xr:uid="{00000000-0005-0000-0000-00001D000000}"/>
    <cellStyle name="40% - Ênfase2 3" xfId="44" xr:uid="{00000000-0005-0000-0000-00001E000000}"/>
    <cellStyle name="40% - Ênfase2 3 2" xfId="45" xr:uid="{00000000-0005-0000-0000-00001F000000}"/>
    <cellStyle name="40% - Ênfase3 2" xfId="46" xr:uid="{00000000-0005-0000-0000-000020000000}"/>
    <cellStyle name="40% - Ênfase3 2 2" xfId="47" xr:uid="{00000000-0005-0000-0000-000021000000}"/>
    <cellStyle name="40% - Ênfase3 3" xfId="48" xr:uid="{00000000-0005-0000-0000-000022000000}"/>
    <cellStyle name="40% - Ênfase3 3 2" xfId="49" xr:uid="{00000000-0005-0000-0000-000023000000}"/>
    <cellStyle name="40% - Ênfase4 2" xfId="50" xr:uid="{00000000-0005-0000-0000-000024000000}"/>
    <cellStyle name="40% - Ênfase4 2 2" xfId="51" xr:uid="{00000000-0005-0000-0000-000025000000}"/>
    <cellStyle name="40% - Ênfase4 3" xfId="52" xr:uid="{00000000-0005-0000-0000-000026000000}"/>
    <cellStyle name="40% - Ênfase4 3 2" xfId="53" xr:uid="{00000000-0005-0000-0000-000027000000}"/>
    <cellStyle name="40% - Ênfase5 2" xfId="54" xr:uid="{00000000-0005-0000-0000-000028000000}"/>
    <cellStyle name="40% - Ênfase5 2 2" xfId="55" xr:uid="{00000000-0005-0000-0000-000029000000}"/>
    <cellStyle name="40% - Ênfase5 3" xfId="56" xr:uid="{00000000-0005-0000-0000-00002A000000}"/>
    <cellStyle name="40% - Ênfase5 3 2" xfId="57" xr:uid="{00000000-0005-0000-0000-00002B000000}"/>
    <cellStyle name="40% - Ênfase6 2" xfId="58" xr:uid="{00000000-0005-0000-0000-00002C000000}"/>
    <cellStyle name="40% - Ênfase6 2 2" xfId="59" xr:uid="{00000000-0005-0000-0000-00002D000000}"/>
    <cellStyle name="40% - Ênfase6 3" xfId="60" xr:uid="{00000000-0005-0000-0000-00002E000000}"/>
    <cellStyle name="40% - Ênfase6 3 2" xfId="61" xr:uid="{00000000-0005-0000-0000-00002F000000}"/>
    <cellStyle name="60% - Ênfase1 2" xfId="62" xr:uid="{00000000-0005-0000-0000-000030000000}"/>
    <cellStyle name="60% - Ênfase1 2 2" xfId="63" xr:uid="{00000000-0005-0000-0000-000031000000}"/>
    <cellStyle name="60% - Ênfase1 3" xfId="64" xr:uid="{00000000-0005-0000-0000-000032000000}"/>
    <cellStyle name="60% - Ênfase1 3 2" xfId="65" xr:uid="{00000000-0005-0000-0000-000033000000}"/>
    <cellStyle name="60% - Ênfase2 2" xfId="66" xr:uid="{00000000-0005-0000-0000-000034000000}"/>
    <cellStyle name="60% - Ênfase2 2 2" xfId="67" xr:uid="{00000000-0005-0000-0000-000035000000}"/>
    <cellStyle name="60% - Ênfase2 3" xfId="68" xr:uid="{00000000-0005-0000-0000-000036000000}"/>
    <cellStyle name="60% - Ênfase2 3 2" xfId="69" xr:uid="{00000000-0005-0000-0000-000037000000}"/>
    <cellStyle name="60% - Ênfase3 2" xfId="70" xr:uid="{00000000-0005-0000-0000-000038000000}"/>
    <cellStyle name="60% - Ênfase3 2 2" xfId="71" xr:uid="{00000000-0005-0000-0000-000039000000}"/>
    <cellStyle name="60% - Ênfase3 3" xfId="72" xr:uid="{00000000-0005-0000-0000-00003A000000}"/>
    <cellStyle name="60% - Ênfase3 3 2" xfId="73" xr:uid="{00000000-0005-0000-0000-00003B000000}"/>
    <cellStyle name="60% - Ênfase4 2" xfId="74" xr:uid="{00000000-0005-0000-0000-00003C000000}"/>
    <cellStyle name="60% - Ênfase4 2 2" xfId="75" xr:uid="{00000000-0005-0000-0000-00003D000000}"/>
    <cellStyle name="60% - Ênfase4 3" xfId="76" xr:uid="{00000000-0005-0000-0000-00003E000000}"/>
    <cellStyle name="60% - Ênfase4 3 2" xfId="77" xr:uid="{00000000-0005-0000-0000-00003F000000}"/>
    <cellStyle name="60% - Ênfase5 2" xfId="78" xr:uid="{00000000-0005-0000-0000-000040000000}"/>
    <cellStyle name="60% - Ênfase5 2 2" xfId="79" xr:uid="{00000000-0005-0000-0000-000041000000}"/>
    <cellStyle name="60% - Ênfase5 3" xfId="80" xr:uid="{00000000-0005-0000-0000-000042000000}"/>
    <cellStyle name="60% - Ênfase5 3 2" xfId="81" xr:uid="{00000000-0005-0000-0000-000043000000}"/>
    <cellStyle name="60% - Ênfase6 2" xfId="82" xr:uid="{00000000-0005-0000-0000-000044000000}"/>
    <cellStyle name="60% - Ênfase6 2 2" xfId="83" xr:uid="{00000000-0005-0000-0000-000045000000}"/>
    <cellStyle name="60% - Ênfase6 3" xfId="84" xr:uid="{00000000-0005-0000-0000-000046000000}"/>
    <cellStyle name="60% - Ênfase6 3 2" xfId="85" xr:uid="{00000000-0005-0000-0000-000047000000}"/>
    <cellStyle name="Bom 2" xfId="86" xr:uid="{00000000-0005-0000-0000-000048000000}"/>
    <cellStyle name="Bom 2 2" xfId="87" xr:uid="{00000000-0005-0000-0000-000049000000}"/>
    <cellStyle name="Bom 3" xfId="88" xr:uid="{00000000-0005-0000-0000-00004A000000}"/>
    <cellStyle name="Bom 3 2" xfId="89" xr:uid="{00000000-0005-0000-0000-00004B000000}"/>
    <cellStyle name="Cálculo 2" xfId="90" xr:uid="{00000000-0005-0000-0000-00004C000000}"/>
    <cellStyle name="Cálculo 2 2" xfId="91" xr:uid="{00000000-0005-0000-0000-00004D000000}"/>
    <cellStyle name="Cálculo 2 2 2" xfId="350" xr:uid="{00000000-0005-0000-0000-00004E000000}"/>
    <cellStyle name="Cálculo 2 2 2 10" xfId="1127" xr:uid="{00000000-0005-0000-0000-00004F000000}"/>
    <cellStyle name="Cálculo 2 2 2 10 2" xfId="1915" xr:uid="{00000000-0005-0000-0000-000050000000}"/>
    <cellStyle name="Cálculo 2 2 2 10 3" xfId="1548" xr:uid="{00000000-0005-0000-0000-000051000000}"/>
    <cellStyle name="Cálculo 2 2 2 11" xfId="1076" xr:uid="{00000000-0005-0000-0000-000052000000}"/>
    <cellStyle name="Cálculo 2 2 2 11 2" xfId="1871" xr:uid="{00000000-0005-0000-0000-000053000000}"/>
    <cellStyle name="Cálculo 2 2 2 11 3" xfId="510" xr:uid="{00000000-0005-0000-0000-000054000000}"/>
    <cellStyle name="Cálculo 2 2 2 12" xfId="919" xr:uid="{00000000-0005-0000-0000-000055000000}"/>
    <cellStyle name="Cálculo 2 2 2 12 2" xfId="1722" xr:uid="{00000000-0005-0000-0000-000056000000}"/>
    <cellStyle name="Cálculo 2 2 2 12 3" xfId="1493" xr:uid="{00000000-0005-0000-0000-000057000000}"/>
    <cellStyle name="Cálculo 2 2 2 13" xfId="1289" xr:uid="{00000000-0005-0000-0000-000058000000}"/>
    <cellStyle name="Cálculo 2 2 2 13 2" xfId="2077" xr:uid="{00000000-0005-0000-0000-000059000000}"/>
    <cellStyle name="Cálculo 2 2 2 13 3" xfId="2821" xr:uid="{00000000-0005-0000-0000-00005A000000}"/>
    <cellStyle name="Cálculo 2 2 2 14" xfId="781" xr:uid="{00000000-0005-0000-0000-00005B000000}"/>
    <cellStyle name="Cálculo 2 2 2 14 2" xfId="1605" xr:uid="{00000000-0005-0000-0000-00005C000000}"/>
    <cellStyle name="Cálculo 2 2 2 14 3" xfId="2403" xr:uid="{00000000-0005-0000-0000-00005D000000}"/>
    <cellStyle name="Cálculo 2 2 2 15" xfId="1296" xr:uid="{00000000-0005-0000-0000-00005E000000}"/>
    <cellStyle name="Cálculo 2 2 2 15 2" xfId="2084" xr:uid="{00000000-0005-0000-0000-00005F000000}"/>
    <cellStyle name="Cálculo 2 2 2 15 3" xfId="2828" xr:uid="{00000000-0005-0000-0000-000060000000}"/>
    <cellStyle name="Cálculo 2 2 2 16" xfId="1227" xr:uid="{00000000-0005-0000-0000-000061000000}"/>
    <cellStyle name="Cálculo 2 2 2 16 2" xfId="2015" xr:uid="{00000000-0005-0000-0000-000062000000}"/>
    <cellStyle name="Cálculo 2 2 2 16 3" xfId="2764" xr:uid="{00000000-0005-0000-0000-000063000000}"/>
    <cellStyle name="Cálculo 2 2 2 17" xfId="1324" xr:uid="{00000000-0005-0000-0000-000064000000}"/>
    <cellStyle name="Cálculo 2 2 2 17 2" xfId="2112" xr:uid="{00000000-0005-0000-0000-000065000000}"/>
    <cellStyle name="Cálculo 2 2 2 17 3" xfId="2853" xr:uid="{00000000-0005-0000-0000-000066000000}"/>
    <cellStyle name="Cálculo 2 2 2 18" xfId="1397" xr:uid="{00000000-0005-0000-0000-000067000000}"/>
    <cellStyle name="Cálculo 2 2 2 18 2" xfId="2185" xr:uid="{00000000-0005-0000-0000-000068000000}"/>
    <cellStyle name="Cálculo 2 2 2 18 3" xfId="2924" xr:uid="{00000000-0005-0000-0000-000069000000}"/>
    <cellStyle name="Cálculo 2 2 2 19" xfId="1422" xr:uid="{00000000-0005-0000-0000-00006A000000}"/>
    <cellStyle name="Cálculo 2 2 2 19 2" xfId="2944" xr:uid="{00000000-0005-0000-0000-00006B000000}"/>
    <cellStyle name="Cálculo 2 2 2 2" xfId="1005" xr:uid="{00000000-0005-0000-0000-00006C000000}"/>
    <cellStyle name="Cálculo 2 2 2 2 2" xfId="1803" xr:uid="{00000000-0005-0000-0000-00006D000000}"/>
    <cellStyle name="Cálculo 2 2 2 2 3" xfId="2361" xr:uid="{00000000-0005-0000-0000-00006E000000}"/>
    <cellStyle name="Cálculo 2 2 2 20" xfId="647" xr:uid="{00000000-0005-0000-0000-00006F000000}"/>
    <cellStyle name="Cálculo 2 2 2 21" xfId="1506" xr:uid="{00000000-0005-0000-0000-000070000000}"/>
    <cellStyle name="Cálculo 2 2 2 22" xfId="1515" xr:uid="{00000000-0005-0000-0000-000071000000}"/>
    <cellStyle name="Cálculo 2 2 2 23" xfId="457" xr:uid="{00000000-0005-0000-0000-000072000000}"/>
    <cellStyle name="Cálculo 2 2 2 3" xfId="739" xr:uid="{00000000-0005-0000-0000-000073000000}"/>
    <cellStyle name="Cálculo 2 2 2 3 2" xfId="1563" xr:uid="{00000000-0005-0000-0000-000074000000}"/>
    <cellStyle name="Cálculo 2 2 2 3 3" xfId="2390" xr:uid="{00000000-0005-0000-0000-000075000000}"/>
    <cellStyle name="Cálculo 2 2 2 4" xfId="983" xr:uid="{00000000-0005-0000-0000-000076000000}"/>
    <cellStyle name="Cálculo 2 2 2 4 2" xfId="1781" xr:uid="{00000000-0005-0000-0000-000077000000}"/>
    <cellStyle name="Cálculo 2 2 2 4 3" xfId="2301" xr:uid="{00000000-0005-0000-0000-000078000000}"/>
    <cellStyle name="Cálculo 2 2 2 5" xfId="878" xr:uid="{00000000-0005-0000-0000-000079000000}"/>
    <cellStyle name="Cálculo 2 2 2 5 2" xfId="1683" xr:uid="{00000000-0005-0000-0000-00007A000000}"/>
    <cellStyle name="Cálculo 2 2 2 5 3" xfId="2588" xr:uid="{00000000-0005-0000-0000-00007B000000}"/>
    <cellStyle name="Cálculo 2 2 2 6" xfId="780" xr:uid="{00000000-0005-0000-0000-00007C000000}"/>
    <cellStyle name="Cálculo 2 2 2 6 2" xfId="1604" xr:uid="{00000000-0005-0000-0000-00007D000000}"/>
    <cellStyle name="Cálculo 2 2 2 6 3" xfId="2465" xr:uid="{00000000-0005-0000-0000-00007E000000}"/>
    <cellStyle name="Cálculo 2 2 2 7" xfId="743" xr:uid="{00000000-0005-0000-0000-00007F000000}"/>
    <cellStyle name="Cálculo 2 2 2 7 2" xfId="1567" xr:uid="{00000000-0005-0000-0000-000080000000}"/>
    <cellStyle name="Cálculo 2 2 2 7 3" xfId="2628" xr:uid="{00000000-0005-0000-0000-000081000000}"/>
    <cellStyle name="Cálculo 2 2 2 8" xfId="942" xr:uid="{00000000-0005-0000-0000-000082000000}"/>
    <cellStyle name="Cálculo 2 2 2 8 2" xfId="1743" xr:uid="{00000000-0005-0000-0000-000083000000}"/>
    <cellStyle name="Cálculo 2 2 2 8 3" xfId="2457" xr:uid="{00000000-0005-0000-0000-000084000000}"/>
    <cellStyle name="Cálculo 2 2 2 9" xfId="906" xr:uid="{00000000-0005-0000-0000-000085000000}"/>
    <cellStyle name="Cálculo 2 2 2 9 2" xfId="1709" xr:uid="{00000000-0005-0000-0000-000086000000}"/>
    <cellStyle name="Cálculo 2 2 2 9 3" xfId="1530" xr:uid="{00000000-0005-0000-0000-000087000000}"/>
    <cellStyle name="Cálculo 2 2 3" xfId="259" xr:uid="{00000000-0005-0000-0000-000088000000}"/>
    <cellStyle name="Cálculo 2 2 3 10" xfId="1060" xr:uid="{00000000-0005-0000-0000-000089000000}"/>
    <cellStyle name="Cálculo 2 2 3 10 2" xfId="1856" xr:uid="{00000000-0005-0000-0000-00008A000000}"/>
    <cellStyle name="Cálculo 2 2 3 10 3" xfId="2262" xr:uid="{00000000-0005-0000-0000-00008B000000}"/>
    <cellStyle name="Cálculo 2 2 3 11" xfId="868" xr:uid="{00000000-0005-0000-0000-00008C000000}"/>
    <cellStyle name="Cálculo 2 2 3 11 2" xfId="1674" xr:uid="{00000000-0005-0000-0000-00008D000000}"/>
    <cellStyle name="Cálculo 2 2 3 11 3" xfId="2273" xr:uid="{00000000-0005-0000-0000-00008E000000}"/>
    <cellStyle name="Cálculo 2 2 3 12" xfId="742" xr:uid="{00000000-0005-0000-0000-00008F000000}"/>
    <cellStyle name="Cálculo 2 2 3 12 2" xfId="1566" xr:uid="{00000000-0005-0000-0000-000090000000}"/>
    <cellStyle name="Cálculo 2 2 3 12 3" xfId="2696" xr:uid="{00000000-0005-0000-0000-000091000000}"/>
    <cellStyle name="Cálculo 2 2 3 13" xfId="1047" xr:uid="{00000000-0005-0000-0000-000092000000}"/>
    <cellStyle name="Cálculo 2 2 3 13 2" xfId="1843" xr:uid="{00000000-0005-0000-0000-000093000000}"/>
    <cellStyle name="Cálculo 2 2 3 13 3" xfId="568" xr:uid="{00000000-0005-0000-0000-000094000000}"/>
    <cellStyle name="Cálculo 2 2 3 14" xfId="1099" xr:uid="{00000000-0005-0000-0000-000095000000}"/>
    <cellStyle name="Cálculo 2 2 3 14 2" xfId="1887" xr:uid="{00000000-0005-0000-0000-000096000000}"/>
    <cellStyle name="Cálculo 2 2 3 14 3" xfId="502" xr:uid="{00000000-0005-0000-0000-000097000000}"/>
    <cellStyle name="Cálculo 2 2 3 15" xfId="1175" xr:uid="{00000000-0005-0000-0000-000098000000}"/>
    <cellStyle name="Cálculo 2 2 3 15 2" xfId="1963" xr:uid="{00000000-0005-0000-0000-000099000000}"/>
    <cellStyle name="Cálculo 2 2 3 15 3" xfId="2721" xr:uid="{00000000-0005-0000-0000-00009A000000}"/>
    <cellStyle name="Cálculo 2 2 3 16" xfId="1112" xr:uid="{00000000-0005-0000-0000-00009B000000}"/>
    <cellStyle name="Cálculo 2 2 3 16 2" xfId="1900" xr:uid="{00000000-0005-0000-0000-00009C000000}"/>
    <cellStyle name="Cálculo 2 2 3 16 3" xfId="492" xr:uid="{00000000-0005-0000-0000-00009D000000}"/>
    <cellStyle name="Cálculo 2 2 3 17" xfId="1189" xr:uid="{00000000-0005-0000-0000-00009E000000}"/>
    <cellStyle name="Cálculo 2 2 3 17 2" xfId="1977" xr:uid="{00000000-0005-0000-0000-00009F000000}"/>
    <cellStyle name="Cálculo 2 2 3 17 3" xfId="2735" xr:uid="{00000000-0005-0000-0000-0000A0000000}"/>
    <cellStyle name="Cálculo 2 2 3 18" xfId="799" xr:uid="{00000000-0005-0000-0000-0000A1000000}"/>
    <cellStyle name="Cálculo 2 2 3 18 2" xfId="1623" xr:uid="{00000000-0005-0000-0000-0000A2000000}"/>
    <cellStyle name="Cálculo 2 2 3 18 3" xfId="2640" xr:uid="{00000000-0005-0000-0000-0000A3000000}"/>
    <cellStyle name="Cálculo 2 2 3 19" xfId="1419" xr:uid="{00000000-0005-0000-0000-0000A4000000}"/>
    <cellStyle name="Cálculo 2 2 3 19 2" xfId="2941" xr:uid="{00000000-0005-0000-0000-0000A5000000}"/>
    <cellStyle name="Cálculo 2 2 3 2" xfId="934" xr:uid="{00000000-0005-0000-0000-0000A6000000}"/>
    <cellStyle name="Cálculo 2 2 3 2 2" xfId="1735" xr:uid="{00000000-0005-0000-0000-0000A7000000}"/>
    <cellStyle name="Cálculo 2 2 3 2 3" xfId="2629" xr:uid="{00000000-0005-0000-0000-0000A8000000}"/>
    <cellStyle name="Cálculo 2 2 3 20" xfId="579" xr:uid="{00000000-0005-0000-0000-0000A9000000}"/>
    <cellStyle name="Cálculo 2 2 3 21" xfId="471" xr:uid="{00000000-0005-0000-0000-0000AA000000}"/>
    <cellStyle name="Cálculo 2 2 3 22" xfId="1800" xr:uid="{00000000-0005-0000-0000-0000AB000000}"/>
    <cellStyle name="Cálculo 2 2 3 23" xfId="2528" xr:uid="{00000000-0005-0000-0000-0000AC000000}"/>
    <cellStyle name="Cálculo 2 2 3 3" xfId="814" xr:uid="{00000000-0005-0000-0000-0000AD000000}"/>
    <cellStyle name="Cálculo 2 2 3 3 2" xfId="1638" xr:uid="{00000000-0005-0000-0000-0000AE000000}"/>
    <cellStyle name="Cálculo 2 2 3 3 3" xfId="2348" xr:uid="{00000000-0005-0000-0000-0000AF000000}"/>
    <cellStyle name="Cálculo 2 2 3 4" xfId="800" xr:uid="{00000000-0005-0000-0000-0000B0000000}"/>
    <cellStyle name="Cálculo 2 2 3 4 2" xfId="1624" xr:uid="{00000000-0005-0000-0000-0000B1000000}"/>
    <cellStyle name="Cálculo 2 2 3 4 3" xfId="2625" xr:uid="{00000000-0005-0000-0000-0000B2000000}"/>
    <cellStyle name="Cálculo 2 2 3 5" xfId="944" xr:uid="{00000000-0005-0000-0000-0000B3000000}"/>
    <cellStyle name="Cálculo 2 2 3 5 2" xfId="1745" xr:uid="{00000000-0005-0000-0000-0000B4000000}"/>
    <cellStyle name="Cálculo 2 2 3 5 3" xfId="2501" xr:uid="{00000000-0005-0000-0000-0000B5000000}"/>
    <cellStyle name="Cálculo 2 2 3 6" xfId="1018" xr:uid="{00000000-0005-0000-0000-0000B6000000}"/>
    <cellStyle name="Cálculo 2 2 3 6 2" xfId="1816" xr:uid="{00000000-0005-0000-0000-0000B7000000}"/>
    <cellStyle name="Cálculo 2 2 3 6 3" xfId="2292" xr:uid="{00000000-0005-0000-0000-0000B8000000}"/>
    <cellStyle name="Cálculo 2 2 3 7" xfId="1183" xr:uid="{00000000-0005-0000-0000-0000B9000000}"/>
    <cellStyle name="Cálculo 2 2 3 7 2" xfId="1971" xr:uid="{00000000-0005-0000-0000-0000BA000000}"/>
    <cellStyle name="Cálculo 2 2 3 7 3" xfId="2729" xr:uid="{00000000-0005-0000-0000-0000BB000000}"/>
    <cellStyle name="Cálculo 2 2 3 8" xfId="1120" xr:uid="{00000000-0005-0000-0000-0000BC000000}"/>
    <cellStyle name="Cálculo 2 2 3 8 2" xfId="1908" xr:uid="{00000000-0005-0000-0000-0000BD000000}"/>
    <cellStyle name="Cálculo 2 2 3 8 3" xfId="485" xr:uid="{00000000-0005-0000-0000-0000BE000000}"/>
    <cellStyle name="Cálculo 2 2 3 9" xfId="766" xr:uid="{00000000-0005-0000-0000-0000BF000000}"/>
    <cellStyle name="Cálculo 2 2 3 9 2" xfId="1590" xr:uid="{00000000-0005-0000-0000-0000C0000000}"/>
    <cellStyle name="Cálculo 2 2 3 9 3" xfId="2503" xr:uid="{00000000-0005-0000-0000-0000C1000000}"/>
    <cellStyle name="Cálculo 2 2 4" xfId="1404" xr:uid="{00000000-0005-0000-0000-0000C2000000}"/>
    <cellStyle name="Cálculo 2 2 4 2" xfId="2930" xr:uid="{00000000-0005-0000-0000-0000C3000000}"/>
    <cellStyle name="Cálculo 2 3" xfId="349" xr:uid="{00000000-0005-0000-0000-0000C4000000}"/>
    <cellStyle name="Cálculo 2 3 10" xfId="755" xr:uid="{00000000-0005-0000-0000-0000C5000000}"/>
    <cellStyle name="Cálculo 2 3 10 2" xfId="1579" xr:uid="{00000000-0005-0000-0000-0000C6000000}"/>
    <cellStyle name="Cálculo 2 3 10 3" xfId="2466" xr:uid="{00000000-0005-0000-0000-0000C7000000}"/>
    <cellStyle name="Cálculo 2 3 11" xfId="791" xr:uid="{00000000-0005-0000-0000-0000C8000000}"/>
    <cellStyle name="Cálculo 2 3 11 2" xfId="1615" xr:uid="{00000000-0005-0000-0000-0000C9000000}"/>
    <cellStyle name="Cálculo 2 3 11 3" xfId="2450" xr:uid="{00000000-0005-0000-0000-0000CA000000}"/>
    <cellStyle name="Cálculo 2 3 12" xfId="972" xr:uid="{00000000-0005-0000-0000-0000CB000000}"/>
    <cellStyle name="Cálculo 2 3 12 2" xfId="1770" xr:uid="{00000000-0005-0000-0000-0000CC000000}"/>
    <cellStyle name="Cálculo 2 3 12 3" xfId="2430" xr:uid="{00000000-0005-0000-0000-0000CD000000}"/>
    <cellStyle name="Cálculo 2 3 13" xfId="1308" xr:uid="{00000000-0005-0000-0000-0000CE000000}"/>
    <cellStyle name="Cálculo 2 3 13 2" xfId="2096" xr:uid="{00000000-0005-0000-0000-0000CF000000}"/>
    <cellStyle name="Cálculo 2 3 13 3" xfId="2839" xr:uid="{00000000-0005-0000-0000-0000D0000000}"/>
    <cellStyle name="Cálculo 2 3 14" xfId="1329" xr:uid="{00000000-0005-0000-0000-0000D1000000}"/>
    <cellStyle name="Cálculo 2 3 14 2" xfId="2117" xr:uid="{00000000-0005-0000-0000-0000D2000000}"/>
    <cellStyle name="Cálculo 2 3 14 3" xfId="2858" xr:uid="{00000000-0005-0000-0000-0000D3000000}"/>
    <cellStyle name="Cálculo 2 3 15" xfId="1349" xr:uid="{00000000-0005-0000-0000-0000D4000000}"/>
    <cellStyle name="Cálculo 2 3 15 2" xfId="2137" xr:uid="{00000000-0005-0000-0000-0000D5000000}"/>
    <cellStyle name="Cálculo 2 3 15 3" xfId="2878" xr:uid="{00000000-0005-0000-0000-0000D6000000}"/>
    <cellStyle name="Cálculo 2 3 16" xfId="1156" xr:uid="{00000000-0005-0000-0000-0000D7000000}"/>
    <cellStyle name="Cálculo 2 3 16 2" xfId="1944" xr:uid="{00000000-0005-0000-0000-0000D8000000}"/>
    <cellStyle name="Cálculo 2 3 16 3" xfId="2703" xr:uid="{00000000-0005-0000-0000-0000D9000000}"/>
    <cellStyle name="Cálculo 2 3 17" xfId="1241" xr:uid="{00000000-0005-0000-0000-0000DA000000}"/>
    <cellStyle name="Cálculo 2 3 17 2" xfId="2029" xr:uid="{00000000-0005-0000-0000-0000DB000000}"/>
    <cellStyle name="Cálculo 2 3 17 3" xfId="2778" xr:uid="{00000000-0005-0000-0000-0000DC000000}"/>
    <cellStyle name="Cálculo 2 3 18" xfId="1286" xr:uid="{00000000-0005-0000-0000-0000DD000000}"/>
    <cellStyle name="Cálculo 2 3 18 2" xfId="2074" xr:uid="{00000000-0005-0000-0000-0000DE000000}"/>
    <cellStyle name="Cálculo 2 3 18 3" xfId="2818" xr:uid="{00000000-0005-0000-0000-0000DF000000}"/>
    <cellStyle name="Cálculo 2 3 19" xfId="1483" xr:uid="{00000000-0005-0000-0000-0000E0000000}"/>
    <cellStyle name="Cálculo 2 3 19 2" xfId="2964" xr:uid="{00000000-0005-0000-0000-0000E1000000}"/>
    <cellStyle name="Cálculo 2 3 2" xfId="1004" xr:uid="{00000000-0005-0000-0000-0000E2000000}"/>
    <cellStyle name="Cálculo 2 3 2 2" xfId="1802" xr:uid="{00000000-0005-0000-0000-0000E3000000}"/>
    <cellStyle name="Cálculo 2 3 2 3" xfId="2257" xr:uid="{00000000-0005-0000-0000-0000E4000000}"/>
    <cellStyle name="Cálculo 2 3 20" xfId="646" xr:uid="{00000000-0005-0000-0000-0000E5000000}"/>
    <cellStyle name="Cálculo 2 3 21" xfId="1505" xr:uid="{00000000-0005-0000-0000-0000E6000000}"/>
    <cellStyle name="Cálculo 2 3 22" xfId="461" xr:uid="{00000000-0005-0000-0000-0000E7000000}"/>
    <cellStyle name="Cálculo 2 3 23" xfId="2243" xr:uid="{00000000-0005-0000-0000-0000E8000000}"/>
    <cellStyle name="Cálculo 2 3 3" xfId="740" xr:uid="{00000000-0005-0000-0000-0000E9000000}"/>
    <cellStyle name="Cálculo 2 3 3 2" xfId="1564" xr:uid="{00000000-0005-0000-0000-0000EA000000}"/>
    <cellStyle name="Cálculo 2 3 3 3" xfId="2226" xr:uid="{00000000-0005-0000-0000-0000EB000000}"/>
    <cellStyle name="Cálculo 2 3 4" xfId="1051" xr:uid="{00000000-0005-0000-0000-0000EC000000}"/>
    <cellStyle name="Cálculo 2 3 4 2" xfId="1847" xr:uid="{00000000-0005-0000-0000-0000ED000000}"/>
    <cellStyle name="Cálculo 2 3 4 3" xfId="2404" xr:uid="{00000000-0005-0000-0000-0000EE000000}"/>
    <cellStyle name="Cálculo 2 3 5" xfId="993" xr:uid="{00000000-0005-0000-0000-0000EF000000}"/>
    <cellStyle name="Cálculo 2 3 5 2" xfId="1791" xr:uid="{00000000-0005-0000-0000-0000F0000000}"/>
    <cellStyle name="Cálculo 2 3 5 3" xfId="2309" xr:uid="{00000000-0005-0000-0000-0000F1000000}"/>
    <cellStyle name="Cálculo 2 3 6" xfId="764" xr:uid="{00000000-0005-0000-0000-0000F2000000}"/>
    <cellStyle name="Cálculo 2 3 6 2" xfId="1588" xr:uid="{00000000-0005-0000-0000-0000F3000000}"/>
    <cellStyle name="Cálculo 2 3 6 3" xfId="2473" xr:uid="{00000000-0005-0000-0000-0000F4000000}"/>
    <cellStyle name="Cálculo 2 3 7" xfId="1016" xr:uid="{00000000-0005-0000-0000-0000F5000000}"/>
    <cellStyle name="Cálculo 2 3 7 2" xfId="1814" xr:uid="{00000000-0005-0000-0000-0000F6000000}"/>
    <cellStyle name="Cálculo 2 3 7 3" xfId="551" xr:uid="{00000000-0005-0000-0000-0000F7000000}"/>
    <cellStyle name="Cálculo 2 3 8" xfId="1229" xr:uid="{00000000-0005-0000-0000-0000F8000000}"/>
    <cellStyle name="Cálculo 2 3 8 2" xfId="2017" xr:uid="{00000000-0005-0000-0000-0000F9000000}"/>
    <cellStyle name="Cálculo 2 3 8 3" xfId="2766" xr:uid="{00000000-0005-0000-0000-0000FA000000}"/>
    <cellStyle name="Cálculo 2 3 9" xfId="908" xr:uid="{00000000-0005-0000-0000-0000FB000000}"/>
    <cellStyle name="Cálculo 2 3 9 2" xfId="1711" xr:uid="{00000000-0005-0000-0000-0000FC000000}"/>
    <cellStyle name="Cálculo 2 3 9 3" xfId="1695" xr:uid="{00000000-0005-0000-0000-0000FD000000}"/>
    <cellStyle name="Cálculo 2 4" xfId="258" xr:uid="{00000000-0005-0000-0000-0000FE000000}"/>
    <cellStyle name="Cálculo 2 4 10" xfId="930" xr:uid="{00000000-0005-0000-0000-0000FF000000}"/>
    <cellStyle name="Cálculo 2 4 10 2" xfId="1732" xr:uid="{00000000-0005-0000-0000-000000010000}"/>
    <cellStyle name="Cálculo 2 4 10 3" xfId="2398" xr:uid="{00000000-0005-0000-0000-000001010000}"/>
    <cellStyle name="Cálculo 2 4 11" xfId="914" xr:uid="{00000000-0005-0000-0000-000002010000}"/>
    <cellStyle name="Cálculo 2 4 11 2" xfId="1717" xr:uid="{00000000-0005-0000-0000-000003010000}"/>
    <cellStyle name="Cálculo 2 4 11 3" xfId="513" xr:uid="{00000000-0005-0000-0000-000004010000}"/>
    <cellStyle name="Cálculo 2 4 12" xfId="773" xr:uid="{00000000-0005-0000-0000-000005010000}"/>
    <cellStyle name="Cálculo 2 4 12 2" xfId="1597" xr:uid="{00000000-0005-0000-0000-000006010000}"/>
    <cellStyle name="Cálculo 2 4 12 3" xfId="2255" xr:uid="{00000000-0005-0000-0000-000007010000}"/>
    <cellStyle name="Cálculo 2 4 13" xfId="911" xr:uid="{00000000-0005-0000-0000-000008010000}"/>
    <cellStyle name="Cálculo 2 4 13 2" xfId="1714" xr:uid="{00000000-0005-0000-0000-000009010000}"/>
    <cellStyle name="Cálculo 2 4 13 3" xfId="2394" xr:uid="{00000000-0005-0000-0000-00000A010000}"/>
    <cellStyle name="Cálculo 2 4 14" xfId="1317" xr:uid="{00000000-0005-0000-0000-00000B010000}"/>
    <cellStyle name="Cálculo 2 4 14 2" xfId="2105" xr:uid="{00000000-0005-0000-0000-00000C010000}"/>
    <cellStyle name="Cálculo 2 4 14 3" xfId="2848" xr:uid="{00000000-0005-0000-0000-00000D010000}"/>
    <cellStyle name="Cálculo 2 4 15" xfId="1337" xr:uid="{00000000-0005-0000-0000-00000E010000}"/>
    <cellStyle name="Cálculo 2 4 15 2" xfId="2125" xr:uid="{00000000-0005-0000-0000-00000F010000}"/>
    <cellStyle name="Cálculo 2 4 15 3" xfId="2866" xr:uid="{00000000-0005-0000-0000-000010010000}"/>
    <cellStyle name="Cálculo 2 4 16" xfId="952" xr:uid="{00000000-0005-0000-0000-000011010000}"/>
    <cellStyle name="Cálculo 2 4 16 2" xfId="1751" xr:uid="{00000000-0005-0000-0000-000012010000}"/>
    <cellStyle name="Cálculo 2 4 16 3" xfId="2557" xr:uid="{00000000-0005-0000-0000-000013010000}"/>
    <cellStyle name="Cálculo 2 4 17" xfId="1387" xr:uid="{00000000-0005-0000-0000-000014010000}"/>
    <cellStyle name="Cálculo 2 4 17 2" xfId="2175" xr:uid="{00000000-0005-0000-0000-000015010000}"/>
    <cellStyle name="Cálculo 2 4 17 3" xfId="2914" xr:uid="{00000000-0005-0000-0000-000016010000}"/>
    <cellStyle name="Cálculo 2 4 18" xfId="1012" xr:uid="{00000000-0005-0000-0000-000017010000}"/>
    <cellStyle name="Cálculo 2 4 18 2" xfId="1810" xr:uid="{00000000-0005-0000-0000-000018010000}"/>
    <cellStyle name="Cálculo 2 4 18 3" xfId="2303" xr:uid="{00000000-0005-0000-0000-000019010000}"/>
    <cellStyle name="Cálculo 2 4 19" xfId="1426" xr:uid="{00000000-0005-0000-0000-00001A010000}"/>
    <cellStyle name="Cálculo 2 4 19 2" xfId="2946" xr:uid="{00000000-0005-0000-0000-00001B010000}"/>
    <cellStyle name="Cálculo 2 4 2" xfId="933" xr:uid="{00000000-0005-0000-0000-00001C010000}"/>
    <cellStyle name="Cálculo 2 4 2 2" xfId="1734" xr:uid="{00000000-0005-0000-0000-00001D010000}"/>
    <cellStyle name="Cálculo 2 4 2 3" xfId="2660" xr:uid="{00000000-0005-0000-0000-00001E010000}"/>
    <cellStyle name="Cálculo 2 4 20" xfId="578" xr:uid="{00000000-0005-0000-0000-00001F010000}"/>
    <cellStyle name="Cálculo 2 4 21" xfId="472" xr:uid="{00000000-0005-0000-0000-000020010000}"/>
    <cellStyle name="Cálculo 2 4 22" xfId="2215" xr:uid="{00000000-0005-0000-0000-000021010000}"/>
    <cellStyle name="Cálculo 2 4 23" xfId="2350" xr:uid="{00000000-0005-0000-0000-000022010000}"/>
    <cellStyle name="Cálculo 2 4 3" xfId="815" xr:uid="{00000000-0005-0000-0000-000023010000}"/>
    <cellStyle name="Cálculo 2 4 3 2" xfId="1639" xr:uid="{00000000-0005-0000-0000-000024010000}"/>
    <cellStyle name="Cálculo 2 4 3 3" xfId="570" xr:uid="{00000000-0005-0000-0000-000025010000}"/>
    <cellStyle name="Cálculo 2 4 4" xfId="864" xr:uid="{00000000-0005-0000-0000-000026010000}"/>
    <cellStyle name="Cálculo 2 4 4 2" xfId="1670" xr:uid="{00000000-0005-0000-0000-000027010000}"/>
    <cellStyle name="Cálculo 2 4 4 3" xfId="2251" xr:uid="{00000000-0005-0000-0000-000028010000}"/>
    <cellStyle name="Cálculo 2 4 5" xfId="1037" xr:uid="{00000000-0005-0000-0000-000029010000}"/>
    <cellStyle name="Cálculo 2 4 5 2" xfId="1834" xr:uid="{00000000-0005-0000-0000-00002A010000}"/>
    <cellStyle name="Cálculo 2 4 5 3" xfId="2655" xr:uid="{00000000-0005-0000-0000-00002B010000}"/>
    <cellStyle name="Cálculo 2 4 6" xfId="869" xr:uid="{00000000-0005-0000-0000-00002C010000}"/>
    <cellStyle name="Cálculo 2 4 6 2" xfId="1675" xr:uid="{00000000-0005-0000-0000-00002D010000}"/>
    <cellStyle name="Cálculo 2 4 6 3" xfId="2442" xr:uid="{00000000-0005-0000-0000-00002E010000}"/>
    <cellStyle name="Cálculo 2 4 7" xfId="783" xr:uid="{00000000-0005-0000-0000-00002F010000}"/>
    <cellStyle name="Cálculo 2 4 7 2" xfId="1607" xr:uid="{00000000-0005-0000-0000-000030010000}"/>
    <cellStyle name="Cálculo 2 4 7 3" xfId="2547" xr:uid="{00000000-0005-0000-0000-000031010000}"/>
    <cellStyle name="Cálculo 2 4 8" xfId="1168" xr:uid="{00000000-0005-0000-0000-000032010000}"/>
    <cellStyle name="Cálculo 2 4 8 2" xfId="1956" xr:uid="{00000000-0005-0000-0000-000033010000}"/>
    <cellStyle name="Cálculo 2 4 8 3" xfId="2715" xr:uid="{00000000-0005-0000-0000-000034010000}"/>
    <cellStyle name="Cálculo 2 4 9" xfId="973" xr:uid="{00000000-0005-0000-0000-000035010000}"/>
    <cellStyle name="Cálculo 2 4 9 2" xfId="1771" xr:uid="{00000000-0005-0000-0000-000036010000}"/>
    <cellStyle name="Cálculo 2 4 9 3" xfId="2539" xr:uid="{00000000-0005-0000-0000-000037010000}"/>
    <cellStyle name="Cálculo 2 5" xfId="1414" xr:uid="{00000000-0005-0000-0000-000038010000}"/>
    <cellStyle name="Cálculo 2 5 2" xfId="2937" xr:uid="{00000000-0005-0000-0000-000039010000}"/>
    <cellStyle name="Cálculo 3" xfId="92" xr:uid="{00000000-0005-0000-0000-00003A010000}"/>
    <cellStyle name="Cálculo 3 2" xfId="93" xr:uid="{00000000-0005-0000-0000-00003B010000}"/>
    <cellStyle name="Cálculo 3 2 2" xfId="352" xr:uid="{00000000-0005-0000-0000-00003C010000}"/>
    <cellStyle name="Cálculo 3 2 2 10" xfId="1304" xr:uid="{00000000-0005-0000-0000-00003D010000}"/>
    <cellStyle name="Cálculo 3 2 2 10 2" xfId="2092" xr:uid="{00000000-0005-0000-0000-00003E010000}"/>
    <cellStyle name="Cálculo 3 2 2 10 3" xfId="2835" xr:uid="{00000000-0005-0000-0000-00003F010000}"/>
    <cellStyle name="Cálculo 3 2 2 11" xfId="1040" xr:uid="{00000000-0005-0000-0000-000040010000}"/>
    <cellStyle name="Cálculo 3 2 2 11 2" xfId="1837" xr:uid="{00000000-0005-0000-0000-000041010000}"/>
    <cellStyle name="Cálculo 3 2 2 11 3" xfId="2467" xr:uid="{00000000-0005-0000-0000-000042010000}"/>
    <cellStyle name="Cálculo 3 2 2 12" xfId="1204" xr:uid="{00000000-0005-0000-0000-000043010000}"/>
    <cellStyle name="Cálculo 3 2 2 12 2" xfId="1992" xr:uid="{00000000-0005-0000-0000-000044010000}"/>
    <cellStyle name="Cálculo 3 2 2 12 3" xfId="2747" xr:uid="{00000000-0005-0000-0000-000045010000}"/>
    <cellStyle name="Cálculo 3 2 2 13" xfId="805" xr:uid="{00000000-0005-0000-0000-000046010000}"/>
    <cellStyle name="Cálculo 3 2 2 13 2" xfId="1629" xr:uid="{00000000-0005-0000-0000-000047010000}"/>
    <cellStyle name="Cálculo 3 2 2 13 3" xfId="560" xr:uid="{00000000-0005-0000-0000-000048010000}"/>
    <cellStyle name="Cálculo 3 2 2 14" xfId="961" xr:uid="{00000000-0005-0000-0000-000049010000}"/>
    <cellStyle name="Cálculo 3 2 2 14 2" xfId="1759" xr:uid="{00000000-0005-0000-0000-00004A010000}"/>
    <cellStyle name="Cálculo 3 2 2 14 3" xfId="2654" xr:uid="{00000000-0005-0000-0000-00004B010000}"/>
    <cellStyle name="Cálculo 3 2 2 15" xfId="901" xr:uid="{00000000-0005-0000-0000-00004C010000}"/>
    <cellStyle name="Cálculo 3 2 2 15 2" xfId="1704" xr:uid="{00000000-0005-0000-0000-00004D010000}"/>
    <cellStyle name="Cálculo 3 2 2 15 3" xfId="516" xr:uid="{00000000-0005-0000-0000-00004E010000}"/>
    <cellStyle name="Cálculo 3 2 2 16" xfId="1390" xr:uid="{00000000-0005-0000-0000-00004F010000}"/>
    <cellStyle name="Cálculo 3 2 2 16 2" xfId="2178" xr:uid="{00000000-0005-0000-0000-000050010000}"/>
    <cellStyle name="Cálculo 3 2 2 16 3" xfId="2917" xr:uid="{00000000-0005-0000-0000-000051010000}"/>
    <cellStyle name="Cálculo 3 2 2 17" xfId="1345" xr:uid="{00000000-0005-0000-0000-000052010000}"/>
    <cellStyle name="Cálculo 3 2 2 17 2" xfId="2133" xr:uid="{00000000-0005-0000-0000-000053010000}"/>
    <cellStyle name="Cálculo 3 2 2 17 3" xfId="2874" xr:uid="{00000000-0005-0000-0000-000054010000}"/>
    <cellStyle name="Cálculo 3 2 2 18" xfId="871" xr:uid="{00000000-0005-0000-0000-000055010000}"/>
    <cellStyle name="Cálculo 3 2 2 18 2" xfId="1677" xr:uid="{00000000-0005-0000-0000-000056010000}"/>
    <cellStyle name="Cálculo 3 2 2 18 3" xfId="539" xr:uid="{00000000-0005-0000-0000-000057010000}"/>
    <cellStyle name="Cálculo 3 2 2 19" xfId="1468" xr:uid="{00000000-0005-0000-0000-000058010000}"/>
    <cellStyle name="Cálculo 3 2 2 19 2" xfId="2961" xr:uid="{00000000-0005-0000-0000-000059010000}"/>
    <cellStyle name="Cálculo 3 2 2 2" xfId="1007" xr:uid="{00000000-0005-0000-0000-00005A010000}"/>
    <cellStyle name="Cálculo 3 2 2 2 2" xfId="1805" xr:uid="{00000000-0005-0000-0000-00005B010000}"/>
    <cellStyle name="Cálculo 3 2 2 2 3" xfId="2230" xr:uid="{00000000-0005-0000-0000-00005C010000}"/>
    <cellStyle name="Cálculo 3 2 2 20" xfId="649" xr:uid="{00000000-0005-0000-0000-00005D010000}"/>
    <cellStyle name="Cálculo 3 2 2 21" xfId="1508" xr:uid="{00000000-0005-0000-0000-00005E010000}"/>
    <cellStyle name="Cálculo 3 2 2 22" xfId="1655" xr:uid="{00000000-0005-0000-0000-00005F010000}"/>
    <cellStyle name="Cálculo 3 2 2 23" xfId="2244" xr:uid="{00000000-0005-0000-0000-000060010000}"/>
    <cellStyle name="Cálculo 3 2 2 3" xfId="737" xr:uid="{00000000-0005-0000-0000-000061010000}"/>
    <cellStyle name="Cálculo 3 2 2 3 2" xfId="1561" xr:uid="{00000000-0005-0000-0000-000062010000}"/>
    <cellStyle name="Cálculo 3 2 2 3 3" xfId="2438" xr:uid="{00000000-0005-0000-0000-000063010000}"/>
    <cellStyle name="Cálculo 3 2 2 4" xfId="887" xr:uid="{00000000-0005-0000-0000-000064010000}"/>
    <cellStyle name="Cálculo 3 2 2 4 2" xfId="1692" xr:uid="{00000000-0005-0000-0000-000065010000}"/>
    <cellStyle name="Cálculo 3 2 2 4 3" xfId="1484" xr:uid="{00000000-0005-0000-0000-000066010000}"/>
    <cellStyle name="Cálculo 3 2 2 5" xfId="1142" xr:uid="{00000000-0005-0000-0000-000067010000}"/>
    <cellStyle name="Cálculo 3 2 2 5 2" xfId="1930" xr:uid="{00000000-0005-0000-0000-000068010000}"/>
    <cellStyle name="Cálculo 3 2 2 5 3" xfId="1545" xr:uid="{00000000-0005-0000-0000-000069010000}"/>
    <cellStyle name="Cálculo 3 2 2 6" xfId="950" xr:uid="{00000000-0005-0000-0000-00006A010000}"/>
    <cellStyle name="Cálculo 3 2 2 6 2" xfId="1749" xr:uid="{00000000-0005-0000-0000-00006B010000}"/>
    <cellStyle name="Cálculo 3 2 2 6 3" xfId="2341" xr:uid="{00000000-0005-0000-0000-00006C010000}"/>
    <cellStyle name="Cálculo 3 2 2 7" xfId="1242" xr:uid="{00000000-0005-0000-0000-00006D010000}"/>
    <cellStyle name="Cálculo 3 2 2 7 2" xfId="2030" xr:uid="{00000000-0005-0000-0000-00006E010000}"/>
    <cellStyle name="Cálculo 3 2 2 7 3" xfId="2779" xr:uid="{00000000-0005-0000-0000-00006F010000}"/>
    <cellStyle name="Cálculo 3 2 2 8" xfId="955" xr:uid="{00000000-0005-0000-0000-000070010000}"/>
    <cellStyle name="Cálculo 3 2 2 8 2" xfId="1754" xr:uid="{00000000-0005-0000-0000-000071010000}"/>
    <cellStyle name="Cálculo 3 2 2 8 3" xfId="2606" xr:uid="{00000000-0005-0000-0000-000072010000}"/>
    <cellStyle name="Cálculo 3 2 2 9" xfId="1014" xr:uid="{00000000-0005-0000-0000-000073010000}"/>
    <cellStyle name="Cálculo 3 2 2 9 2" xfId="1812" xr:uid="{00000000-0005-0000-0000-000074010000}"/>
    <cellStyle name="Cálculo 3 2 2 9 3" xfId="2577" xr:uid="{00000000-0005-0000-0000-000075010000}"/>
    <cellStyle name="Cálculo 3 2 3" xfId="261" xr:uid="{00000000-0005-0000-0000-000076010000}"/>
    <cellStyle name="Cálculo 3 2 3 10" xfId="1240" xr:uid="{00000000-0005-0000-0000-000077010000}"/>
    <cellStyle name="Cálculo 3 2 3 10 2" xfId="2028" xr:uid="{00000000-0005-0000-0000-000078010000}"/>
    <cellStyle name="Cálculo 3 2 3 10 3" xfId="2777" xr:uid="{00000000-0005-0000-0000-000079010000}"/>
    <cellStyle name="Cálculo 3 2 3 11" xfId="948" xr:uid="{00000000-0005-0000-0000-00007A010000}"/>
    <cellStyle name="Cálculo 3 2 3 11 2" xfId="1747" xr:uid="{00000000-0005-0000-0000-00007B010000}"/>
    <cellStyle name="Cálculo 3 2 3 11 3" xfId="2268" xr:uid="{00000000-0005-0000-0000-00007C010000}"/>
    <cellStyle name="Cálculo 3 2 3 12" xfId="902" xr:uid="{00000000-0005-0000-0000-00007D010000}"/>
    <cellStyle name="Cálculo 3 2 3 12 2" xfId="1705" xr:uid="{00000000-0005-0000-0000-00007E010000}"/>
    <cellStyle name="Cálculo 3 2 3 12 3" xfId="515" xr:uid="{00000000-0005-0000-0000-00007F010000}"/>
    <cellStyle name="Cálculo 3 2 3 13" xfId="1267" xr:uid="{00000000-0005-0000-0000-000080010000}"/>
    <cellStyle name="Cálculo 3 2 3 13 2" xfId="2055" xr:uid="{00000000-0005-0000-0000-000081010000}"/>
    <cellStyle name="Cálculo 3 2 3 13 3" xfId="2801" xr:uid="{00000000-0005-0000-0000-000082010000}"/>
    <cellStyle name="Cálculo 3 2 3 14" xfId="1200" xr:uid="{00000000-0005-0000-0000-000083010000}"/>
    <cellStyle name="Cálculo 3 2 3 14 2" xfId="1988" xr:uid="{00000000-0005-0000-0000-000084010000}"/>
    <cellStyle name="Cálculo 3 2 3 14 3" xfId="2744" xr:uid="{00000000-0005-0000-0000-000085010000}"/>
    <cellStyle name="Cálculo 3 2 3 15" xfId="1250" xr:uid="{00000000-0005-0000-0000-000086010000}"/>
    <cellStyle name="Cálculo 3 2 3 15 2" xfId="2038" xr:uid="{00000000-0005-0000-0000-000087010000}"/>
    <cellStyle name="Cálculo 3 2 3 15 3" xfId="2787" xr:uid="{00000000-0005-0000-0000-000088010000}"/>
    <cellStyle name="Cálculo 3 2 3 16" xfId="1271" xr:uid="{00000000-0005-0000-0000-000089010000}"/>
    <cellStyle name="Cálculo 3 2 3 16 2" xfId="2059" xr:uid="{00000000-0005-0000-0000-00008A010000}"/>
    <cellStyle name="Cálculo 3 2 3 16 3" xfId="2805" xr:uid="{00000000-0005-0000-0000-00008B010000}"/>
    <cellStyle name="Cálculo 3 2 3 17" xfId="1137" xr:uid="{00000000-0005-0000-0000-00008C010000}"/>
    <cellStyle name="Cálculo 3 2 3 17 2" xfId="1925" xr:uid="{00000000-0005-0000-0000-00008D010000}"/>
    <cellStyle name="Cálculo 3 2 3 17 3" xfId="478" xr:uid="{00000000-0005-0000-0000-00008E010000}"/>
    <cellStyle name="Cálculo 3 2 3 18" xfId="752" xr:uid="{00000000-0005-0000-0000-00008F010000}"/>
    <cellStyle name="Cálculo 3 2 3 18 2" xfId="1576" xr:uid="{00000000-0005-0000-0000-000090010000}"/>
    <cellStyle name="Cálculo 3 2 3 18 3" xfId="2443" xr:uid="{00000000-0005-0000-0000-000091010000}"/>
    <cellStyle name="Cálculo 3 2 3 19" xfId="1427" xr:uid="{00000000-0005-0000-0000-000092010000}"/>
    <cellStyle name="Cálculo 3 2 3 19 2" xfId="2947" xr:uid="{00000000-0005-0000-0000-000093010000}"/>
    <cellStyle name="Cálculo 3 2 3 2" xfId="936" xr:uid="{00000000-0005-0000-0000-000094010000}"/>
    <cellStyle name="Cálculo 3 2 3 2 2" xfId="1737" xr:uid="{00000000-0005-0000-0000-000095010000}"/>
    <cellStyle name="Cálculo 3 2 3 2 3" xfId="2233" xr:uid="{00000000-0005-0000-0000-000096010000}"/>
    <cellStyle name="Cálculo 3 2 3 20" xfId="581" xr:uid="{00000000-0005-0000-0000-000097010000}"/>
    <cellStyle name="Cálculo 3 2 3 21" xfId="469" xr:uid="{00000000-0005-0000-0000-000098010000}"/>
    <cellStyle name="Cálculo 3 2 3 22" xfId="2223" xr:uid="{00000000-0005-0000-0000-000099010000}"/>
    <cellStyle name="Cálculo 3 2 3 23" xfId="2333" xr:uid="{00000000-0005-0000-0000-00009A010000}"/>
    <cellStyle name="Cálculo 3 2 3 3" xfId="812" xr:uid="{00000000-0005-0000-0000-00009B010000}"/>
    <cellStyle name="Cálculo 3 2 3 3 2" xfId="1636" xr:uid="{00000000-0005-0000-0000-00009C010000}"/>
    <cellStyle name="Cálculo 3 2 3 3 3" xfId="2236" xr:uid="{00000000-0005-0000-0000-00009D010000}"/>
    <cellStyle name="Cálculo 3 2 3 4" xfId="865" xr:uid="{00000000-0005-0000-0000-00009E010000}"/>
    <cellStyle name="Cálculo 3 2 3 4 2" xfId="1671" xr:uid="{00000000-0005-0000-0000-00009F010000}"/>
    <cellStyle name="Cálculo 3 2 3 4 3" xfId="620" xr:uid="{00000000-0005-0000-0000-0000A0010000}"/>
    <cellStyle name="Cálculo 3 2 3 5" xfId="894" xr:uid="{00000000-0005-0000-0000-0000A1010000}"/>
    <cellStyle name="Cálculo 3 2 3 5 2" xfId="1699" xr:uid="{00000000-0005-0000-0000-0000A2010000}"/>
    <cellStyle name="Cálculo 3 2 3 5 3" xfId="518" xr:uid="{00000000-0005-0000-0000-0000A3010000}"/>
    <cellStyle name="Cálculo 3 2 3 6" xfId="821" xr:uid="{00000000-0005-0000-0000-0000A4010000}"/>
    <cellStyle name="Cálculo 3 2 3 6 2" xfId="1645" xr:uid="{00000000-0005-0000-0000-0000A5010000}"/>
    <cellStyle name="Cálculo 3 2 3 6 3" xfId="2476" xr:uid="{00000000-0005-0000-0000-0000A6010000}"/>
    <cellStyle name="Cálculo 3 2 3 7" xfId="1113" xr:uid="{00000000-0005-0000-0000-0000A7010000}"/>
    <cellStyle name="Cálculo 3 2 3 7 2" xfId="1901" xr:uid="{00000000-0005-0000-0000-0000A8010000}"/>
    <cellStyle name="Cálculo 3 2 3 7 3" xfId="491" xr:uid="{00000000-0005-0000-0000-0000A9010000}"/>
    <cellStyle name="Cálculo 3 2 3 8" xfId="1218" xr:uid="{00000000-0005-0000-0000-0000AA010000}"/>
    <cellStyle name="Cálculo 3 2 3 8 2" xfId="2006" xr:uid="{00000000-0005-0000-0000-0000AB010000}"/>
    <cellStyle name="Cálculo 3 2 3 8 3" xfId="2757" xr:uid="{00000000-0005-0000-0000-0000AC010000}"/>
    <cellStyle name="Cálculo 3 2 3 9" xfId="1235" xr:uid="{00000000-0005-0000-0000-0000AD010000}"/>
    <cellStyle name="Cálculo 3 2 3 9 2" xfId="2023" xr:uid="{00000000-0005-0000-0000-0000AE010000}"/>
    <cellStyle name="Cálculo 3 2 3 9 3" xfId="2772" xr:uid="{00000000-0005-0000-0000-0000AF010000}"/>
    <cellStyle name="Cálculo 3 2 4" xfId="1403" xr:uid="{00000000-0005-0000-0000-0000B0010000}"/>
    <cellStyle name="Cálculo 3 2 4 2" xfId="2929" xr:uid="{00000000-0005-0000-0000-0000B1010000}"/>
    <cellStyle name="Cálculo 3 3" xfId="351" xr:uid="{00000000-0005-0000-0000-0000B2010000}"/>
    <cellStyle name="Cálculo 3 3 10" xfId="1148" xr:uid="{00000000-0005-0000-0000-0000B3010000}"/>
    <cellStyle name="Cálculo 3 3 10 2" xfId="1936" xr:uid="{00000000-0005-0000-0000-0000B4010000}"/>
    <cellStyle name="Cálculo 3 3 10 3" xfId="1502" xr:uid="{00000000-0005-0000-0000-0000B5010000}"/>
    <cellStyle name="Cálculo 3 3 11" xfId="1294" xr:uid="{00000000-0005-0000-0000-0000B6010000}"/>
    <cellStyle name="Cálculo 3 3 11 2" xfId="2082" xr:uid="{00000000-0005-0000-0000-0000B7010000}"/>
    <cellStyle name="Cálculo 3 3 11 3" xfId="2826" xr:uid="{00000000-0005-0000-0000-0000B8010000}"/>
    <cellStyle name="Cálculo 3 3 12" xfId="1155" xr:uid="{00000000-0005-0000-0000-0000B9010000}"/>
    <cellStyle name="Cálculo 3 3 12 2" xfId="1943" xr:uid="{00000000-0005-0000-0000-0000BA010000}"/>
    <cellStyle name="Cálculo 3 3 12 3" xfId="2702" xr:uid="{00000000-0005-0000-0000-0000BB010000}"/>
    <cellStyle name="Cálculo 3 3 13" xfId="1307" xr:uid="{00000000-0005-0000-0000-0000BC010000}"/>
    <cellStyle name="Cálculo 3 3 13 2" xfId="2095" xr:uid="{00000000-0005-0000-0000-0000BD010000}"/>
    <cellStyle name="Cálculo 3 3 13 3" xfId="2838" xr:uid="{00000000-0005-0000-0000-0000BE010000}"/>
    <cellStyle name="Cálculo 3 3 14" xfId="1328" xr:uid="{00000000-0005-0000-0000-0000BF010000}"/>
    <cellStyle name="Cálculo 3 3 14 2" xfId="2116" xr:uid="{00000000-0005-0000-0000-0000C0010000}"/>
    <cellStyle name="Cálculo 3 3 14 3" xfId="2857" xr:uid="{00000000-0005-0000-0000-0000C1010000}"/>
    <cellStyle name="Cálculo 3 3 15" xfId="1348" xr:uid="{00000000-0005-0000-0000-0000C2010000}"/>
    <cellStyle name="Cálculo 3 3 15 2" xfId="2136" xr:uid="{00000000-0005-0000-0000-0000C3010000}"/>
    <cellStyle name="Cálculo 3 3 15 3" xfId="2877" xr:uid="{00000000-0005-0000-0000-0000C4010000}"/>
    <cellStyle name="Cálculo 3 3 16" xfId="1359" xr:uid="{00000000-0005-0000-0000-0000C5010000}"/>
    <cellStyle name="Cálculo 3 3 16 2" xfId="2147" xr:uid="{00000000-0005-0000-0000-0000C6010000}"/>
    <cellStyle name="Cálculo 3 3 16 3" xfId="2888" xr:uid="{00000000-0005-0000-0000-0000C7010000}"/>
    <cellStyle name="Cálculo 3 3 17" xfId="1362" xr:uid="{00000000-0005-0000-0000-0000C8010000}"/>
    <cellStyle name="Cálculo 3 3 17 2" xfId="2150" xr:uid="{00000000-0005-0000-0000-0000C9010000}"/>
    <cellStyle name="Cálculo 3 3 17 3" xfId="2891" xr:uid="{00000000-0005-0000-0000-0000CA010000}"/>
    <cellStyle name="Cálculo 3 3 18" xfId="1293" xr:uid="{00000000-0005-0000-0000-0000CB010000}"/>
    <cellStyle name="Cálculo 3 3 18 2" xfId="2081" xr:uid="{00000000-0005-0000-0000-0000CC010000}"/>
    <cellStyle name="Cálculo 3 3 18 3" xfId="2825" xr:uid="{00000000-0005-0000-0000-0000CD010000}"/>
    <cellStyle name="Cálculo 3 3 19" xfId="1454" xr:uid="{00000000-0005-0000-0000-0000CE010000}"/>
    <cellStyle name="Cálculo 3 3 19 2" xfId="2957" xr:uid="{00000000-0005-0000-0000-0000CF010000}"/>
    <cellStyle name="Cálculo 3 3 2" xfId="1006" xr:uid="{00000000-0005-0000-0000-0000D0010000}"/>
    <cellStyle name="Cálculo 3 3 2 2" xfId="1804" xr:uid="{00000000-0005-0000-0000-0000D1010000}"/>
    <cellStyle name="Cálculo 3 3 2 3" xfId="2253" xr:uid="{00000000-0005-0000-0000-0000D2010000}"/>
    <cellStyle name="Cálculo 3 3 20" xfId="648" xr:uid="{00000000-0005-0000-0000-0000D3010000}"/>
    <cellStyle name="Cálculo 3 3 21" xfId="1507" xr:uid="{00000000-0005-0000-0000-0000D4010000}"/>
    <cellStyle name="Cálculo 3 3 22" xfId="529" xr:uid="{00000000-0005-0000-0000-0000D5010000}"/>
    <cellStyle name="Cálculo 3 3 23" xfId="1653" xr:uid="{00000000-0005-0000-0000-0000D6010000}"/>
    <cellStyle name="Cálculo 3 3 3" xfId="738" xr:uid="{00000000-0005-0000-0000-0000D7010000}"/>
    <cellStyle name="Cálculo 3 3 3 2" xfId="1562" xr:uid="{00000000-0005-0000-0000-0000D8010000}"/>
    <cellStyle name="Cálculo 3 3 3 3" xfId="2231" xr:uid="{00000000-0005-0000-0000-0000D9010000}"/>
    <cellStyle name="Cálculo 3 3 4" xfId="886" xr:uid="{00000000-0005-0000-0000-0000DA010000}"/>
    <cellStyle name="Cálculo 3 3 4 2" xfId="1691" xr:uid="{00000000-0005-0000-0000-0000DB010000}"/>
    <cellStyle name="Cálculo 3 3 4 3" xfId="1524" xr:uid="{00000000-0005-0000-0000-0000DC010000}"/>
    <cellStyle name="Cálculo 3 3 5" xfId="1144" xr:uid="{00000000-0005-0000-0000-0000DD010000}"/>
    <cellStyle name="Cálculo 3 3 5 2" xfId="1932" xr:uid="{00000000-0005-0000-0000-0000DE010000}"/>
    <cellStyle name="Cálculo 3 3 5 3" xfId="2224" xr:uid="{00000000-0005-0000-0000-0000DF010000}"/>
    <cellStyle name="Cálculo 3 3 6" xfId="1180" xr:uid="{00000000-0005-0000-0000-0000E0010000}"/>
    <cellStyle name="Cálculo 3 3 6 2" xfId="1968" xr:uid="{00000000-0005-0000-0000-0000E1010000}"/>
    <cellStyle name="Cálculo 3 3 6 3" xfId="2726" xr:uid="{00000000-0005-0000-0000-0000E2010000}"/>
    <cellStyle name="Cálculo 3 3 7" xfId="1188" xr:uid="{00000000-0005-0000-0000-0000E3010000}"/>
    <cellStyle name="Cálculo 3 3 7 2" xfId="1976" xr:uid="{00000000-0005-0000-0000-0000E4010000}"/>
    <cellStyle name="Cálculo 3 3 7 3" xfId="2734" xr:uid="{00000000-0005-0000-0000-0000E5010000}"/>
    <cellStyle name="Cálculo 3 3 8" xfId="1228" xr:uid="{00000000-0005-0000-0000-0000E6010000}"/>
    <cellStyle name="Cálculo 3 3 8 2" xfId="2016" xr:uid="{00000000-0005-0000-0000-0000E7010000}"/>
    <cellStyle name="Cálculo 3 3 8 3" xfId="2765" xr:uid="{00000000-0005-0000-0000-0000E8010000}"/>
    <cellStyle name="Cálculo 3 3 9" xfId="982" xr:uid="{00000000-0005-0000-0000-0000E9010000}"/>
    <cellStyle name="Cálculo 3 3 9 2" xfId="1780" xr:uid="{00000000-0005-0000-0000-0000EA010000}"/>
    <cellStyle name="Cálculo 3 3 9 3" xfId="2514" xr:uid="{00000000-0005-0000-0000-0000EB010000}"/>
    <cellStyle name="Cálculo 3 4" xfId="260" xr:uid="{00000000-0005-0000-0000-0000EC010000}"/>
    <cellStyle name="Cálculo 3 4 10" xfId="1171" xr:uid="{00000000-0005-0000-0000-0000ED010000}"/>
    <cellStyle name="Cálculo 3 4 10 2" xfId="1959" xr:uid="{00000000-0005-0000-0000-0000EE010000}"/>
    <cellStyle name="Cálculo 3 4 10 3" xfId="2717" xr:uid="{00000000-0005-0000-0000-0000EF010000}"/>
    <cellStyle name="Cálculo 3 4 11" xfId="913" xr:uid="{00000000-0005-0000-0000-0000F0010000}"/>
    <cellStyle name="Cálculo 3 4 11 2" xfId="1716" xr:uid="{00000000-0005-0000-0000-0000F1010000}"/>
    <cellStyle name="Cálculo 3 4 11 3" xfId="514" xr:uid="{00000000-0005-0000-0000-0000F2010000}"/>
    <cellStyle name="Cálculo 3 4 12" xfId="1101" xr:uid="{00000000-0005-0000-0000-0000F3010000}"/>
    <cellStyle name="Cálculo 3 4 12 2" xfId="1889" xr:uid="{00000000-0005-0000-0000-0000F4010000}"/>
    <cellStyle name="Cálculo 3 4 12 3" xfId="500" xr:uid="{00000000-0005-0000-0000-0000F5010000}"/>
    <cellStyle name="Cálculo 3 4 13" xfId="1302" xr:uid="{00000000-0005-0000-0000-0000F6010000}"/>
    <cellStyle name="Cálculo 3 4 13 2" xfId="2090" xr:uid="{00000000-0005-0000-0000-0000F7010000}"/>
    <cellStyle name="Cálculo 3 4 13 3" xfId="2834" xr:uid="{00000000-0005-0000-0000-0000F8010000}"/>
    <cellStyle name="Cálculo 3 4 14" xfId="1163" xr:uid="{00000000-0005-0000-0000-0000F9010000}"/>
    <cellStyle name="Cálculo 3 4 14 2" xfId="1951" xr:uid="{00000000-0005-0000-0000-0000FA010000}"/>
    <cellStyle name="Cálculo 3 4 14 3" xfId="2710" xr:uid="{00000000-0005-0000-0000-0000FB010000}"/>
    <cellStyle name="Cálculo 3 4 15" xfId="1202" xr:uid="{00000000-0005-0000-0000-0000FC010000}"/>
    <cellStyle name="Cálculo 3 4 15 2" xfId="1990" xr:uid="{00000000-0005-0000-0000-0000FD010000}"/>
    <cellStyle name="Cálculo 3 4 15 3" xfId="2746" xr:uid="{00000000-0005-0000-0000-0000FE010000}"/>
    <cellStyle name="Cálculo 3 4 16" xfId="819" xr:uid="{00000000-0005-0000-0000-0000FF010000}"/>
    <cellStyle name="Cálculo 3 4 16 2" xfId="1643" xr:uid="{00000000-0005-0000-0000-000000020000}"/>
    <cellStyle name="Cálculo 3 4 16 3" xfId="2637" xr:uid="{00000000-0005-0000-0000-000001020000}"/>
    <cellStyle name="Cálculo 3 4 17" xfId="827" xr:uid="{00000000-0005-0000-0000-000002020000}"/>
    <cellStyle name="Cálculo 3 4 17 2" xfId="1651" xr:uid="{00000000-0005-0000-0000-000003020000}"/>
    <cellStyle name="Cálculo 3 4 17 3" xfId="2462" xr:uid="{00000000-0005-0000-0000-000004020000}"/>
    <cellStyle name="Cálculo 3 4 18" xfId="1375" xr:uid="{00000000-0005-0000-0000-000005020000}"/>
    <cellStyle name="Cálculo 3 4 18 2" xfId="2163" xr:uid="{00000000-0005-0000-0000-000006020000}"/>
    <cellStyle name="Cálculo 3 4 18 3" xfId="2904" xr:uid="{00000000-0005-0000-0000-000007020000}"/>
    <cellStyle name="Cálculo 3 4 19" xfId="1410" xr:uid="{00000000-0005-0000-0000-000008020000}"/>
    <cellStyle name="Cálculo 3 4 19 2" xfId="2934" xr:uid="{00000000-0005-0000-0000-000009020000}"/>
    <cellStyle name="Cálculo 3 4 2" xfId="935" xr:uid="{00000000-0005-0000-0000-00000A020000}"/>
    <cellStyle name="Cálculo 3 4 2 2" xfId="1736" xr:uid="{00000000-0005-0000-0000-00000B020000}"/>
    <cellStyle name="Cálculo 3 4 2 3" xfId="2241" xr:uid="{00000000-0005-0000-0000-00000C020000}"/>
    <cellStyle name="Cálculo 3 4 20" xfId="580" xr:uid="{00000000-0005-0000-0000-00000D020000}"/>
    <cellStyle name="Cálculo 3 4 21" xfId="470" xr:uid="{00000000-0005-0000-0000-00000E020000}"/>
    <cellStyle name="Cálculo 3 4 22" xfId="1503" xr:uid="{00000000-0005-0000-0000-00000F020000}"/>
    <cellStyle name="Cálculo 3 4 23" xfId="548" xr:uid="{00000000-0005-0000-0000-000010020000}"/>
    <cellStyle name="Cálculo 3 4 3" xfId="813" xr:uid="{00000000-0005-0000-0000-000011020000}"/>
    <cellStyle name="Cálculo 3 4 3 2" xfId="1637" xr:uid="{00000000-0005-0000-0000-000012020000}"/>
    <cellStyle name="Cálculo 3 4 3 3" xfId="2314" xr:uid="{00000000-0005-0000-0000-000013020000}"/>
    <cellStyle name="Cálculo 3 4 4" xfId="1092" xr:uid="{00000000-0005-0000-0000-000014020000}"/>
    <cellStyle name="Cálculo 3 4 4 2" xfId="1880" xr:uid="{00000000-0005-0000-0000-000015020000}"/>
    <cellStyle name="Cálculo 3 4 4 3" xfId="508" xr:uid="{00000000-0005-0000-0000-000016020000}"/>
    <cellStyle name="Cálculo 3 4 5" xfId="1104" xr:uid="{00000000-0005-0000-0000-000017020000}"/>
    <cellStyle name="Cálculo 3 4 5 2" xfId="1892" xr:uid="{00000000-0005-0000-0000-000018020000}"/>
    <cellStyle name="Cálculo 3 4 5 3" xfId="498" xr:uid="{00000000-0005-0000-0000-000019020000}"/>
    <cellStyle name="Cálculo 3 4 6" xfId="958" xr:uid="{00000000-0005-0000-0000-00001A020000}"/>
    <cellStyle name="Cálculo 3 4 6 2" xfId="1757" xr:uid="{00000000-0005-0000-0000-00001B020000}"/>
    <cellStyle name="Cálculo 3 4 6 3" xfId="2445" xr:uid="{00000000-0005-0000-0000-00001C020000}"/>
    <cellStyle name="Cálculo 3 4 7" xfId="990" xr:uid="{00000000-0005-0000-0000-00001D020000}"/>
    <cellStyle name="Cálculo 3 4 7 2" xfId="1788" xr:uid="{00000000-0005-0000-0000-00001E020000}"/>
    <cellStyle name="Cálculo 3 4 7 3" xfId="2603" xr:uid="{00000000-0005-0000-0000-00001F020000}"/>
    <cellStyle name="Cálculo 3 4 8" xfId="797" xr:uid="{00000000-0005-0000-0000-000020020000}"/>
    <cellStyle name="Cálculo 3 4 8 2" xfId="1621" xr:uid="{00000000-0005-0000-0000-000021020000}"/>
    <cellStyle name="Cálculo 3 4 8 3" xfId="2688" xr:uid="{00000000-0005-0000-0000-000022020000}"/>
    <cellStyle name="Cálculo 3 4 9" xfId="1059" xr:uid="{00000000-0005-0000-0000-000023020000}"/>
    <cellStyle name="Cálculo 3 4 9 2" xfId="1855" xr:uid="{00000000-0005-0000-0000-000024020000}"/>
    <cellStyle name="Cálculo 3 4 9 3" xfId="553" xr:uid="{00000000-0005-0000-0000-000025020000}"/>
    <cellStyle name="Cálculo 3 5" xfId="1413" xr:uid="{00000000-0005-0000-0000-000026020000}"/>
    <cellStyle name="Cálculo 3 5 2" xfId="2936" xr:uid="{00000000-0005-0000-0000-000027020000}"/>
    <cellStyle name="Cancel" xfId="94" xr:uid="{00000000-0005-0000-0000-000028020000}"/>
    <cellStyle name="Cancel 2" xfId="95" xr:uid="{00000000-0005-0000-0000-000029020000}"/>
    <cellStyle name="Cancel 3" xfId="96" xr:uid="{00000000-0005-0000-0000-00002A020000}"/>
    <cellStyle name="Célula de Verificação 2" xfId="97" xr:uid="{00000000-0005-0000-0000-00002B020000}"/>
    <cellStyle name="Célula de Verificação 2 2" xfId="98" xr:uid="{00000000-0005-0000-0000-00002C020000}"/>
    <cellStyle name="Célula de Verificação 3" xfId="99" xr:uid="{00000000-0005-0000-0000-00002D020000}"/>
    <cellStyle name="Célula de Verificação 3 2" xfId="100" xr:uid="{00000000-0005-0000-0000-00002E020000}"/>
    <cellStyle name="Célula Vinculada 2" xfId="101" xr:uid="{00000000-0005-0000-0000-00002F020000}"/>
    <cellStyle name="Célula Vinculada 2 2" xfId="102" xr:uid="{00000000-0005-0000-0000-000030020000}"/>
    <cellStyle name="Célula Vinculada 3" xfId="103" xr:uid="{00000000-0005-0000-0000-000031020000}"/>
    <cellStyle name="Célula Vinculada 3 2" xfId="104" xr:uid="{00000000-0005-0000-0000-000032020000}"/>
    <cellStyle name="Currency 2" xfId="722" xr:uid="{00000000-0005-0000-0000-000033020000}"/>
    <cellStyle name="Currency 2 2" xfId="1087" xr:uid="{00000000-0005-0000-0000-000034020000}"/>
    <cellStyle name="Currency 2 3" xfId="1480" xr:uid="{00000000-0005-0000-0000-000035020000}"/>
    <cellStyle name="Currency 3" xfId="728" xr:uid="{00000000-0005-0000-0000-000036020000}"/>
    <cellStyle name="Ênfase1 2" xfId="105" xr:uid="{00000000-0005-0000-0000-000037020000}"/>
    <cellStyle name="Ênfase1 2 2" xfId="106" xr:uid="{00000000-0005-0000-0000-000038020000}"/>
    <cellStyle name="Ênfase1 3" xfId="107" xr:uid="{00000000-0005-0000-0000-000039020000}"/>
    <cellStyle name="Ênfase1 3 2" xfId="108" xr:uid="{00000000-0005-0000-0000-00003A020000}"/>
    <cellStyle name="Ênfase2 2" xfId="109" xr:uid="{00000000-0005-0000-0000-00003B020000}"/>
    <cellStyle name="Ênfase2 2 2" xfId="110" xr:uid="{00000000-0005-0000-0000-00003C020000}"/>
    <cellStyle name="Ênfase2 3" xfId="111" xr:uid="{00000000-0005-0000-0000-00003D020000}"/>
    <cellStyle name="Ênfase2 3 2" xfId="112" xr:uid="{00000000-0005-0000-0000-00003E020000}"/>
    <cellStyle name="Ênfase3 2" xfId="113" xr:uid="{00000000-0005-0000-0000-00003F020000}"/>
    <cellStyle name="Ênfase3 2 2" xfId="114" xr:uid="{00000000-0005-0000-0000-000040020000}"/>
    <cellStyle name="Ênfase3 3" xfId="115" xr:uid="{00000000-0005-0000-0000-000041020000}"/>
    <cellStyle name="Ênfase3 3 2" xfId="116" xr:uid="{00000000-0005-0000-0000-000042020000}"/>
    <cellStyle name="Ênfase4 2" xfId="117" xr:uid="{00000000-0005-0000-0000-000043020000}"/>
    <cellStyle name="Ênfase4 2 2" xfId="118" xr:uid="{00000000-0005-0000-0000-000044020000}"/>
    <cellStyle name="Ênfase4 3" xfId="119" xr:uid="{00000000-0005-0000-0000-000045020000}"/>
    <cellStyle name="Ênfase4 3 2" xfId="120" xr:uid="{00000000-0005-0000-0000-000046020000}"/>
    <cellStyle name="Ênfase5 2" xfId="121" xr:uid="{00000000-0005-0000-0000-000047020000}"/>
    <cellStyle name="Ênfase5 2 2" xfId="122" xr:uid="{00000000-0005-0000-0000-000048020000}"/>
    <cellStyle name="Ênfase5 3" xfId="123" xr:uid="{00000000-0005-0000-0000-000049020000}"/>
    <cellStyle name="Ênfase5 3 2" xfId="124" xr:uid="{00000000-0005-0000-0000-00004A020000}"/>
    <cellStyle name="Ênfase6 2" xfId="125" xr:uid="{00000000-0005-0000-0000-00004B020000}"/>
    <cellStyle name="Ênfase6 2 2" xfId="126" xr:uid="{00000000-0005-0000-0000-00004C020000}"/>
    <cellStyle name="Ênfase6 3" xfId="127" xr:uid="{00000000-0005-0000-0000-00004D020000}"/>
    <cellStyle name="Ênfase6 3 2" xfId="128" xr:uid="{00000000-0005-0000-0000-00004E020000}"/>
    <cellStyle name="Entrada 2" xfId="129" xr:uid="{00000000-0005-0000-0000-00004F020000}"/>
    <cellStyle name="Entrada 2 2" xfId="130" xr:uid="{00000000-0005-0000-0000-000050020000}"/>
    <cellStyle name="Entrada 2 2 2" xfId="354" xr:uid="{00000000-0005-0000-0000-000051020000}"/>
    <cellStyle name="Entrada 2 2 2 10" xfId="768" xr:uid="{00000000-0005-0000-0000-000052020000}"/>
    <cellStyle name="Entrada 2 2 2 10 2" xfId="1592" xr:uid="{00000000-0005-0000-0000-000053020000}"/>
    <cellStyle name="Entrada 2 2 2 10 3" xfId="2558" xr:uid="{00000000-0005-0000-0000-000054020000}"/>
    <cellStyle name="Entrada 2 2 2 11" xfId="1234" xr:uid="{00000000-0005-0000-0000-000055020000}"/>
    <cellStyle name="Entrada 2 2 2 11 2" xfId="2022" xr:uid="{00000000-0005-0000-0000-000056020000}"/>
    <cellStyle name="Entrada 2 2 2 11 3" xfId="2771" xr:uid="{00000000-0005-0000-0000-000057020000}"/>
    <cellStyle name="Entrada 2 2 2 12" xfId="1149" xr:uid="{00000000-0005-0000-0000-000058020000}"/>
    <cellStyle name="Entrada 2 2 2 12 2" xfId="1937" xr:uid="{00000000-0005-0000-0000-000059020000}"/>
    <cellStyle name="Entrada 2 2 2 12 3" xfId="1799" xr:uid="{00000000-0005-0000-0000-00005A020000}"/>
    <cellStyle name="Entrada 2 2 2 13" xfId="1309" xr:uid="{00000000-0005-0000-0000-00005B020000}"/>
    <cellStyle name="Entrada 2 2 2 13 2" xfId="2097" xr:uid="{00000000-0005-0000-0000-00005C020000}"/>
    <cellStyle name="Entrada 2 2 2 13 3" xfId="2840" xr:uid="{00000000-0005-0000-0000-00005D020000}"/>
    <cellStyle name="Entrada 2 2 2 14" xfId="1330" xr:uid="{00000000-0005-0000-0000-00005E020000}"/>
    <cellStyle name="Entrada 2 2 2 14 2" xfId="2118" xr:uid="{00000000-0005-0000-0000-00005F020000}"/>
    <cellStyle name="Entrada 2 2 2 14 3" xfId="2859" xr:uid="{00000000-0005-0000-0000-000060020000}"/>
    <cellStyle name="Entrada 2 2 2 15" xfId="1350" xr:uid="{00000000-0005-0000-0000-000061020000}"/>
    <cellStyle name="Entrada 2 2 2 15 2" xfId="2138" xr:uid="{00000000-0005-0000-0000-000062020000}"/>
    <cellStyle name="Entrada 2 2 2 15 3" xfId="2879" xr:uid="{00000000-0005-0000-0000-000063020000}"/>
    <cellStyle name="Entrada 2 2 2 16" xfId="1290" xr:uid="{00000000-0005-0000-0000-000064020000}"/>
    <cellStyle name="Entrada 2 2 2 16 2" xfId="2078" xr:uid="{00000000-0005-0000-0000-000065020000}"/>
    <cellStyle name="Entrada 2 2 2 16 3" xfId="2822" xr:uid="{00000000-0005-0000-0000-000066020000}"/>
    <cellStyle name="Entrada 2 2 2 17" xfId="1371" xr:uid="{00000000-0005-0000-0000-000067020000}"/>
    <cellStyle name="Entrada 2 2 2 17 2" xfId="2159" xr:uid="{00000000-0005-0000-0000-000068020000}"/>
    <cellStyle name="Entrada 2 2 2 17 3" xfId="2900" xr:uid="{00000000-0005-0000-0000-000069020000}"/>
    <cellStyle name="Entrada 2 2 2 18" xfId="1357" xr:uid="{00000000-0005-0000-0000-00006A020000}"/>
    <cellStyle name="Entrada 2 2 2 18 2" xfId="2145" xr:uid="{00000000-0005-0000-0000-00006B020000}"/>
    <cellStyle name="Entrada 2 2 2 18 3" xfId="2886" xr:uid="{00000000-0005-0000-0000-00006C020000}"/>
    <cellStyle name="Entrada 2 2 2 19" xfId="1433" xr:uid="{00000000-0005-0000-0000-00006D020000}"/>
    <cellStyle name="Entrada 2 2 2 19 2" xfId="2950" xr:uid="{00000000-0005-0000-0000-00006E020000}"/>
    <cellStyle name="Entrada 2 2 2 2" xfId="1009" xr:uid="{00000000-0005-0000-0000-00006F020000}"/>
    <cellStyle name="Entrada 2 2 2 2 2" xfId="1807" xr:uid="{00000000-0005-0000-0000-000070020000}"/>
    <cellStyle name="Entrada 2 2 2 2 3" xfId="2671" xr:uid="{00000000-0005-0000-0000-000071020000}"/>
    <cellStyle name="Entrada 2 2 2 20" xfId="651" xr:uid="{00000000-0005-0000-0000-000072020000}"/>
    <cellStyle name="Entrada 2 2 2 21" xfId="1510" xr:uid="{00000000-0005-0000-0000-000073020000}"/>
    <cellStyle name="Entrada 2 2 2 22" xfId="1513" xr:uid="{00000000-0005-0000-0000-000074020000}"/>
    <cellStyle name="Entrada 2 2 2 23" xfId="464" xr:uid="{00000000-0005-0000-0000-000075020000}"/>
    <cellStyle name="Entrada 2 2 2 3" xfId="735" xr:uid="{00000000-0005-0000-0000-000076020000}"/>
    <cellStyle name="Entrada 2 2 2 3 2" xfId="1559" xr:uid="{00000000-0005-0000-0000-000077020000}"/>
    <cellStyle name="Entrada 2 2 2 3 3" xfId="2414" xr:uid="{00000000-0005-0000-0000-000078020000}"/>
    <cellStyle name="Entrada 2 2 2 4" xfId="889" xr:uid="{00000000-0005-0000-0000-000079020000}"/>
    <cellStyle name="Entrada 2 2 2 4 2" xfId="1694" xr:uid="{00000000-0005-0000-0000-00007A020000}"/>
    <cellStyle name="Entrada 2 2 2 4 3" xfId="519" xr:uid="{00000000-0005-0000-0000-00007B020000}"/>
    <cellStyle name="Entrada 2 2 2 5" xfId="1151" xr:uid="{00000000-0005-0000-0000-00007C020000}"/>
    <cellStyle name="Entrada 2 2 2 5 2" xfId="1939" xr:uid="{00000000-0005-0000-0000-00007D020000}"/>
    <cellStyle name="Entrada 2 2 2 5 3" xfId="1731" xr:uid="{00000000-0005-0000-0000-00007E020000}"/>
    <cellStyle name="Entrada 2 2 2 6" xfId="903" xr:uid="{00000000-0005-0000-0000-00007F020000}"/>
    <cellStyle name="Entrada 2 2 2 6 2" xfId="1706" xr:uid="{00000000-0005-0000-0000-000080020000}"/>
    <cellStyle name="Entrada 2 2 2 6 3" xfId="1531" xr:uid="{00000000-0005-0000-0000-000081020000}"/>
    <cellStyle name="Entrada 2 2 2 7" xfId="951" xr:uid="{00000000-0005-0000-0000-000082020000}"/>
    <cellStyle name="Entrada 2 2 2 7 2" xfId="1750" xr:uid="{00000000-0005-0000-0000-000083020000}"/>
    <cellStyle name="Entrada 2 2 2 7 3" xfId="2687" xr:uid="{00000000-0005-0000-0000-000084020000}"/>
    <cellStyle name="Entrada 2 2 2 8" xfId="1230" xr:uid="{00000000-0005-0000-0000-000085020000}"/>
    <cellStyle name="Entrada 2 2 2 8 2" xfId="2018" xr:uid="{00000000-0005-0000-0000-000086020000}"/>
    <cellStyle name="Entrada 2 2 2 8 3" xfId="2767" xr:uid="{00000000-0005-0000-0000-000087020000}"/>
    <cellStyle name="Entrada 2 2 2 9" xfId="753" xr:uid="{00000000-0005-0000-0000-000088020000}"/>
    <cellStyle name="Entrada 2 2 2 9 2" xfId="1577" xr:uid="{00000000-0005-0000-0000-000089020000}"/>
    <cellStyle name="Entrada 2 2 2 9 3" xfId="2279" xr:uid="{00000000-0005-0000-0000-00008A020000}"/>
    <cellStyle name="Entrada 2 2 3" xfId="263" xr:uid="{00000000-0005-0000-0000-00008B020000}"/>
    <cellStyle name="Entrada 2 2 3 10" xfId="862" xr:uid="{00000000-0005-0000-0000-00008C020000}"/>
    <cellStyle name="Entrada 2 2 3 10 2" xfId="1668" xr:uid="{00000000-0005-0000-0000-00008D020000}"/>
    <cellStyle name="Entrada 2 2 3 10 3" xfId="2511" xr:uid="{00000000-0005-0000-0000-00008E020000}"/>
    <cellStyle name="Entrada 2 2 3 11" xfId="1249" xr:uid="{00000000-0005-0000-0000-00008F020000}"/>
    <cellStyle name="Entrada 2 2 3 11 2" xfId="2037" xr:uid="{00000000-0005-0000-0000-000090020000}"/>
    <cellStyle name="Entrada 2 2 3 11 3" xfId="2786" xr:uid="{00000000-0005-0000-0000-000091020000}"/>
    <cellStyle name="Entrada 2 2 3 12" xfId="1239" xr:uid="{00000000-0005-0000-0000-000092020000}"/>
    <cellStyle name="Entrada 2 2 3 12 2" xfId="2027" xr:uid="{00000000-0005-0000-0000-000093020000}"/>
    <cellStyle name="Entrada 2 2 3 12 3" xfId="2776" xr:uid="{00000000-0005-0000-0000-000094020000}"/>
    <cellStyle name="Entrada 2 2 3 13" xfId="804" xr:uid="{00000000-0005-0000-0000-000095020000}"/>
    <cellStyle name="Entrada 2 2 3 13 2" xfId="1628" xr:uid="{00000000-0005-0000-0000-000096020000}"/>
    <cellStyle name="Entrada 2 2 3 13 3" xfId="2380" xr:uid="{00000000-0005-0000-0000-000097020000}"/>
    <cellStyle name="Entrada 2 2 3 14" xfId="1166" xr:uid="{00000000-0005-0000-0000-000098020000}"/>
    <cellStyle name="Entrada 2 2 3 14 2" xfId="1954" xr:uid="{00000000-0005-0000-0000-000099020000}"/>
    <cellStyle name="Entrada 2 2 3 14 3" xfId="2713" xr:uid="{00000000-0005-0000-0000-00009A020000}"/>
    <cellStyle name="Entrada 2 2 3 15" xfId="1118" xr:uid="{00000000-0005-0000-0000-00009B020000}"/>
    <cellStyle name="Entrada 2 2 3 15 2" xfId="1906" xr:uid="{00000000-0005-0000-0000-00009C020000}"/>
    <cellStyle name="Entrada 2 2 3 15 3" xfId="487" xr:uid="{00000000-0005-0000-0000-00009D020000}"/>
    <cellStyle name="Entrada 2 2 3 16" xfId="907" xr:uid="{00000000-0005-0000-0000-00009E020000}"/>
    <cellStyle name="Entrada 2 2 3 16 2" xfId="1710" xr:uid="{00000000-0005-0000-0000-00009F020000}"/>
    <cellStyle name="Entrada 2 2 3 16 3" xfId="1490" xr:uid="{00000000-0005-0000-0000-0000A0020000}"/>
    <cellStyle name="Entrada 2 2 3 17" xfId="807" xr:uid="{00000000-0005-0000-0000-0000A1020000}"/>
    <cellStyle name="Entrada 2 2 3 17 2" xfId="1631" xr:uid="{00000000-0005-0000-0000-0000A2020000}"/>
    <cellStyle name="Entrada 2 2 3 17 3" xfId="451" xr:uid="{00000000-0005-0000-0000-0000A3020000}"/>
    <cellStyle name="Entrada 2 2 3 18" xfId="1026" xr:uid="{00000000-0005-0000-0000-0000A4020000}"/>
    <cellStyle name="Entrada 2 2 3 18 2" xfId="1824" xr:uid="{00000000-0005-0000-0000-0000A5020000}"/>
    <cellStyle name="Entrada 2 2 3 18 3" xfId="2339" xr:uid="{00000000-0005-0000-0000-0000A6020000}"/>
    <cellStyle name="Entrada 2 2 3 19" xfId="1411" xr:uid="{00000000-0005-0000-0000-0000A7020000}"/>
    <cellStyle name="Entrada 2 2 3 19 2" xfId="2935" xr:uid="{00000000-0005-0000-0000-0000A8020000}"/>
    <cellStyle name="Entrada 2 2 3 2" xfId="938" xr:uid="{00000000-0005-0000-0000-0000A9020000}"/>
    <cellStyle name="Entrada 2 2 3 2 2" xfId="1739" xr:uid="{00000000-0005-0000-0000-0000AA020000}"/>
    <cellStyle name="Entrada 2 2 3 2 3" xfId="2452" xr:uid="{00000000-0005-0000-0000-0000AB020000}"/>
    <cellStyle name="Entrada 2 2 3 20" xfId="583" xr:uid="{00000000-0005-0000-0000-0000AC020000}"/>
    <cellStyle name="Entrada 2 2 3 21" xfId="467" xr:uid="{00000000-0005-0000-0000-0000AD020000}"/>
    <cellStyle name="Entrada 2 2 3 22" xfId="1542" xr:uid="{00000000-0005-0000-0000-0000AE020000}"/>
    <cellStyle name="Entrada 2 2 3 23" xfId="2362" xr:uid="{00000000-0005-0000-0000-0000AF020000}"/>
    <cellStyle name="Entrada 2 2 3 3" xfId="810" xr:uid="{00000000-0005-0000-0000-0000B0020000}"/>
    <cellStyle name="Entrada 2 2 3 3 2" xfId="1634" xr:uid="{00000000-0005-0000-0000-0000B1020000}"/>
    <cellStyle name="Entrada 2 2 3 3 3" xfId="2289" xr:uid="{00000000-0005-0000-0000-0000B2020000}"/>
    <cellStyle name="Entrada 2 2 3 4" xfId="1091" xr:uid="{00000000-0005-0000-0000-0000B3020000}"/>
    <cellStyle name="Entrada 2 2 3 4 2" xfId="1879" xr:uid="{00000000-0005-0000-0000-0000B4020000}"/>
    <cellStyle name="Entrada 2 2 3 4 3" xfId="1702" xr:uid="{00000000-0005-0000-0000-0000B5020000}"/>
    <cellStyle name="Entrada 2 2 3 5" xfId="1170" xr:uid="{00000000-0005-0000-0000-0000B6020000}"/>
    <cellStyle name="Entrada 2 2 3 5 2" xfId="1958" xr:uid="{00000000-0005-0000-0000-0000B7020000}"/>
    <cellStyle name="Entrada 2 2 3 5 3" xfId="2716" xr:uid="{00000000-0005-0000-0000-0000B8020000}"/>
    <cellStyle name="Entrada 2 2 3 6" xfId="818" xr:uid="{00000000-0005-0000-0000-0000B9020000}"/>
    <cellStyle name="Entrada 2 2 3 6 2" xfId="1642" xr:uid="{00000000-0005-0000-0000-0000BA020000}"/>
    <cellStyle name="Entrada 2 2 3 6 3" xfId="2667" xr:uid="{00000000-0005-0000-0000-0000BB020000}"/>
    <cellStyle name="Entrada 2 2 3 7" xfId="1187" xr:uid="{00000000-0005-0000-0000-0000BC020000}"/>
    <cellStyle name="Entrada 2 2 3 7 2" xfId="1975" xr:uid="{00000000-0005-0000-0000-0000BD020000}"/>
    <cellStyle name="Entrada 2 2 3 7 3" xfId="2733" xr:uid="{00000000-0005-0000-0000-0000BE020000}"/>
    <cellStyle name="Entrada 2 2 3 8" xfId="837" xr:uid="{00000000-0005-0000-0000-0000BF020000}"/>
    <cellStyle name="Entrada 2 2 3 8 2" xfId="1656" xr:uid="{00000000-0005-0000-0000-0000C0020000}"/>
    <cellStyle name="Entrada 2 2 3 8 3" xfId="2647" xr:uid="{00000000-0005-0000-0000-0000C1020000}"/>
    <cellStyle name="Entrada 2 2 3 9" xfId="900" xr:uid="{00000000-0005-0000-0000-0000C2020000}"/>
    <cellStyle name="Entrada 2 2 3 9 2" xfId="1703" xr:uid="{00000000-0005-0000-0000-0000C3020000}"/>
    <cellStyle name="Entrada 2 2 3 9 3" xfId="517" xr:uid="{00000000-0005-0000-0000-0000C4020000}"/>
    <cellStyle name="Entrada 2 2 4" xfId="1416" xr:uid="{00000000-0005-0000-0000-0000C5020000}"/>
    <cellStyle name="Entrada 2 2 4 2" xfId="2939" xr:uid="{00000000-0005-0000-0000-0000C6020000}"/>
    <cellStyle name="Entrada 2 3" xfId="353" xr:uid="{00000000-0005-0000-0000-0000C7020000}"/>
    <cellStyle name="Entrada 2 3 10" xfId="1081" xr:uid="{00000000-0005-0000-0000-0000C8020000}"/>
    <cellStyle name="Entrada 2 3 10 2" xfId="1873" xr:uid="{00000000-0005-0000-0000-0000C9020000}"/>
    <cellStyle name="Entrada 2 3 10 3" xfId="509" xr:uid="{00000000-0005-0000-0000-0000CA020000}"/>
    <cellStyle name="Entrada 2 3 11" xfId="772" xr:uid="{00000000-0005-0000-0000-0000CB020000}"/>
    <cellStyle name="Entrada 2 3 11 2" xfId="1596" xr:uid="{00000000-0005-0000-0000-0000CC020000}"/>
    <cellStyle name="Entrada 2 3 11 3" xfId="2332" xr:uid="{00000000-0005-0000-0000-0000CD020000}"/>
    <cellStyle name="Entrada 2 3 12" xfId="1028" xr:uid="{00000000-0005-0000-0000-0000CE020000}"/>
    <cellStyle name="Entrada 2 3 12 2" xfId="1826" xr:uid="{00000000-0005-0000-0000-0000CF020000}"/>
    <cellStyle name="Entrada 2 3 12 3" xfId="2551" xr:uid="{00000000-0005-0000-0000-0000D0020000}"/>
    <cellStyle name="Entrada 2 3 13" xfId="1279" xr:uid="{00000000-0005-0000-0000-0000D1020000}"/>
    <cellStyle name="Entrada 2 3 13 2" xfId="2067" xr:uid="{00000000-0005-0000-0000-0000D2020000}"/>
    <cellStyle name="Entrada 2 3 13 3" xfId="2813" xr:uid="{00000000-0005-0000-0000-0000D3020000}"/>
    <cellStyle name="Entrada 2 3 14" xfId="1119" xr:uid="{00000000-0005-0000-0000-0000D4020000}"/>
    <cellStyle name="Entrada 2 3 14 2" xfId="1907" xr:uid="{00000000-0005-0000-0000-0000D5020000}"/>
    <cellStyle name="Entrada 2 3 14 3" xfId="486" xr:uid="{00000000-0005-0000-0000-0000D6020000}"/>
    <cellStyle name="Entrada 2 3 15" xfId="839" xr:uid="{00000000-0005-0000-0000-0000D7020000}"/>
    <cellStyle name="Entrada 2 3 15 2" xfId="1657" xr:uid="{00000000-0005-0000-0000-0000D8020000}"/>
    <cellStyle name="Entrada 2 3 15 3" xfId="2197" xr:uid="{00000000-0005-0000-0000-0000D9020000}"/>
    <cellStyle name="Entrada 2 3 16" xfId="729" xr:uid="{00000000-0005-0000-0000-0000DA020000}"/>
    <cellStyle name="Entrada 2 3 16 2" xfId="1553" xr:uid="{00000000-0005-0000-0000-0000DB020000}"/>
    <cellStyle name="Entrada 2 3 16 3" xfId="1549" xr:uid="{00000000-0005-0000-0000-0000DC020000}"/>
    <cellStyle name="Entrada 2 3 17" xfId="1107" xr:uid="{00000000-0005-0000-0000-0000DD020000}"/>
    <cellStyle name="Entrada 2 3 17 2" xfId="1895" xr:uid="{00000000-0005-0000-0000-0000DE020000}"/>
    <cellStyle name="Entrada 2 3 17 3" xfId="496" xr:uid="{00000000-0005-0000-0000-0000DF020000}"/>
    <cellStyle name="Entrada 2 3 18" xfId="1395" xr:uid="{00000000-0005-0000-0000-0000E0020000}"/>
    <cellStyle name="Entrada 2 3 18 2" xfId="2183" xr:uid="{00000000-0005-0000-0000-0000E1020000}"/>
    <cellStyle name="Entrada 2 3 18 3" xfId="2922" xr:uid="{00000000-0005-0000-0000-0000E2020000}"/>
    <cellStyle name="Entrada 2 3 19" xfId="1453" xr:uid="{00000000-0005-0000-0000-0000E3020000}"/>
    <cellStyle name="Entrada 2 3 19 2" xfId="2956" xr:uid="{00000000-0005-0000-0000-0000E4020000}"/>
    <cellStyle name="Entrada 2 3 2" xfId="1008" xr:uid="{00000000-0005-0000-0000-0000E5020000}"/>
    <cellStyle name="Entrada 2 3 2 2" xfId="1806" xr:uid="{00000000-0005-0000-0000-0000E6020000}"/>
    <cellStyle name="Entrada 2 3 2 3" xfId="2294" xr:uid="{00000000-0005-0000-0000-0000E7020000}"/>
    <cellStyle name="Entrada 2 3 20" xfId="650" xr:uid="{00000000-0005-0000-0000-0000E8020000}"/>
    <cellStyle name="Entrada 2 3 21" xfId="1509" xr:uid="{00000000-0005-0000-0000-0000E9020000}"/>
    <cellStyle name="Entrada 2 3 22" xfId="463" xr:uid="{00000000-0005-0000-0000-0000EA020000}"/>
    <cellStyle name="Entrada 2 3 23" xfId="1519" xr:uid="{00000000-0005-0000-0000-0000EB020000}"/>
    <cellStyle name="Entrada 2 3 3" xfId="736" xr:uid="{00000000-0005-0000-0000-0000EC020000}"/>
    <cellStyle name="Entrada 2 3 3 2" xfId="1560" xr:uid="{00000000-0005-0000-0000-0000ED020000}"/>
    <cellStyle name="Entrada 2 3 3 3" xfId="2444" xr:uid="{00000000-0005-0000-0000-0000EE020000}"/>
    <cellStyle name="Entrada 2 3 4" xfId="888" xr:uid="{00000000-0005-0000-0000-0000EF020000}"/>
    <cellStyle name="Entrada 2 3 4 2" xfId="1693" xr:uid="{00000000-0005-0000-0000-0000F0020000}"/>
    <cellStyle name="Entrada 2 3 4 3" xfId="520" xr:uid="{00000000-0005-0000-0000-0000F1020000}"/>
    <cellStyle name="Entrada 2 3 5" xfId="1000" xr:uid="{00000000-0005-0000-0000-0000F2020000}"/>
    <cellStyle name="Entrada 2 3 5 2" xfId="1798" xr:uid="{00000000-0005-0000-0000-0000F3020000}"/>
    <cellStyle name="Entrada 2 3 5 3" xfId="2663" xr:uid="{00000000-0005-0000-0000-0000F4020000}"/>
    <cellStyle name="Entrada 2 3 6" xfId="866" xr:uid="{00000000-0005-0000-0000-0000F5020000}"/>
    <cellStyle name="Entrada 2 3 6 2" xfId="1672" xr:uid="{00000000-0005-0000-0000-0000F6020000}"/>
    <cellStyle name="Entrada 2 3 6 3" xfId="2502" xr:uid="{00000000-0005-0000-0000-0000F7020000}"/>
    <cellStyle name="Entrada 2 3 7" xfId="779" xr:uid="{00000000-0005-0000-0000-0000F8020000}"/>
    <cellStyle name="Entrada 2 3 7 2" xfId="1603" xr:uid="{00000000-0005-0000-0000-0000F9020000}"/>
    <cellStyle name="Entrada 2 3 7 3" xfId="2668" xr:uid="{00000000-0005-0000-0000-0000FA020000}"/>
    <cellStyle name="Entrada 2 3 8" xfId="859" xr:uid="{00000000-0005-0000-0000-0000FB020000}"/>
    <cellStyle name="Entrada 2 3 8 2" xfId="1665" xr:uid="{00000000-0005-0000-0000-0000FC020000}"/>
    <cellStyle name="Entrada 2 3 8 3" xfId="2416" xr:uid="{00000000-0005-0000-0000-0000FD020000}"/>
    <cellStyle name="Entrada 2 3 9" xfId="730" xr:uid="{00000000-0005-0000-0000-0000FE020000}"/>
    <cellStyle name="Entrada 2 3 9 2" xfId="1554" xr:uid="{00000000-0005-0000-0000-0000FF020000}"/>
    <cellStyle name="Entrada 2 3 9 3" xfId="1523" xr:uid="{00000000-0005-0000-0000-000000030000}"/>
    <cellStyle name="Entrada 2 4" xfId="262" xr:uid="{00000000-0005-0000-0000-000001030000}"/>
    <cellStyle name="Entrada 2 4 10" xfId="1177" xr:uid="{00000000-0005-0000-0000-000002030000}"/>
    <cellStyle name="Entrada 2 4 10 2" xfId="1965" xr:uid="{00000000-0005-0000-0000-000003030000}"/>
    <cellStyle name="Entrada 2 4 10 3" xfId="2723" xr:uid="{00000000-0005-0000-0000-000004030000}"/>
    <cellStyle name="Entrada 2 4 11" xfId="1252" xr:uid="{00000000-0005-0000-0000-000005030000}"/>
    <cellStyle name="Entrada 2 4 11 2" xfId="2040" xr:uid="{00000000-0005-0000-0000-000006030000}"/>
    <cellStyle name="Entrada 2 4 11 3" xfId="2789" xr:uid="{00000000-0005-0000-0000-000007030000}"/>
    <cellStyle name="Entrada 2 4 12" xfId="1036" xr:uid="{00000000-0005-0000-0000-000008030000}"/>
    <cellStyle name="Entrada 2 4 12 2" xfId="1833" xr:uid="{00000000-0005-0000-0000-000009030000}"/>
    <cellStyle name="Entrada 2 4 12 3" xfId="687" xr:uid="{00000000-0005-0000-0000-00000A030000}"/>
    <cellStyle name="Entrada 2 4 13" xfId="957" xr:uid="{00000000-0005-0000-0000-00000B030000}"/>
    <cellStyle name="Entrada 2 4 13 2" xfId="1756" xr:uid="{00000000-0005-0000-0000-00000C030000}"/>
    <cellStyle name="Entrada 2 4 13 3" xfId="2568" xr:uid="{00000000-0005-0000-0000-00000D030000}"/>
    <cellStyle name="Entrada 2 4 14" xfId="806" xr:uid="{00000000-0005-0000-0000-00000E030000}"/>
    <cellStyle name="Entrada 2 4 14 2" xfId="1630" xr:uid="{00000000-0005-0000-0000-00000F030000}"/>
    <cellStyle name="Entrada 2 4 14 3" xfId="2530" xr:uid="{00000000-0005-0000-0000-000010030000}"/>
    <cellStyle name="Entrada 2 4 15" xfId="856" xr:uid="{00000000-0005-0000-0000-000011030000}"/>
    <cellStyle name="Entrada 2 4 15 2" xfId="1663" xr:uid="{00000000-0005-0000-0000-000012030000}"/>
    <cellStyle name="Entrada 2 4 15 3" xfId="2352" xr:uid="{00000000-0005-0000-0000-000013030000}"/>
    <cellStyle name="Entrada 2 4 16" xfId="1195" xr:uid="{00000000-0005-0000-0000-000014030000}"/>
    <cellStyle name="Entrada 2 4 16 2" xfId="1983" xr:uid="{00000000-0005-0000-0000-000015030000}"/>
    <cellStyle name="Entrada 2 4 16 3" xfId="2739" xr:uid="{00000000-0005-0000-0000-000016030000}"/>
    <cellStyle name="Entrada 2 4 17" xfId="1336" xr:uid="{00000000-0005-0000-0000-000017030000}"/>
    <cellStyle name="Entrada 2 4 17 2" xfId="2124" xr:uid="{00000000-0005-0000-0000-000018030000}"/>
    <cellStyle name="Entrada 2 4 17 3" xfId="2865" xr:uid="{00000000-0005-0000-0000-000019030000}"/>
    <cellStyle name="Entrada 2 4 18" xfId="1385" xr:uid="{00000000-0005-0000-0000-00001A030000}"/>
    <cellStyle name="Entrada 2 4 18 2" xfId="2173" xr:uid="{00000000-0005-0000-0000-00001B030000}"/>
    <cellStyle name="Entrada 2 4 18 3" xfId="2912" xr:uid="{00000000-0005-0000-0000-00001C030000}"/>
    <cellStyle name="Entrada 2 4 19" xfId="1420" xr:uid="{00000000-0005-0000-0000-00001D030000}"/>
    <cellStyle name="Entrada 2 4 19 2" xfId="2942" xr:uid="{00000000-0005-0000-0000-00001E030000}"/>
    <cellStyle name="Entrada 2 4 2" xfId="937" xr:uid="{00000000-0005-0000-0000-00001F030000}"/>
    <cellStyle name="Entrada 2 4 2 2" xfId="1738" xr:uid="{00000000-0005-0000-0000-000020030000}"/>
    <cellStyle name="Entrada 2 4 2 3" xfId="2483" xr:uid="{00000000-0005-0000-0000-000021030000}"/>
    <cellStyle name="Entrada 2 4 20" xfId="582" xr:uid="{00000000-0005-0000-0000-000022030000}"/>
    <cellStyle name="Entrada 2 4 21" xfId="468" xr:uid="{00000000-0005-0000-0000-000023030000}"/>
    <cellStyle name="Entrada 2 4 22" xfId="1866" xr:uid="{00000000-0005-0000-0000-000024030000}"/>
    <cellStyle name="Entrada 2 4 23" xfId="2232" xr:uid="{00000000-0005-0000-0000-000025030000}"/>
    <cellStyle name="Entrada 2 4 3" xfId="811" xr:uid="{00000000-0005-0000-0000-000026030000}"/>
    <cellStyle name="Entrada 2 4 3 2" xfId="1635" xr:uid="{00000000-0005-0000-0000-000027030000}"/>
    <cellStyle name="Entrada 2 4 3 3" xfId="682" xr:uid="{00000000-0005-0000-0000-000028030000}"/>
    <cellStyle name="Entrada 2 4 4" xfId="801" xr:uid="{00000000-0005-0000-0000-000029030000}"/>
    <cellStyle name="Entrada 2 4 4 2" xfId="1625" xr:uid="{00000000-0005-0000-0000-00002A030000}"/>
    <cellStyle name="Entrada 2 4 4 3" xfId="2605" xr:uid="{00000000-0005-0000-0000-00002B030000}"/>
    <cellStyle name="Entrada 2 4 5" xfId="1017" xr:uid="{00000000-0005-0000-0000-00002C030000}"/>
    <cellStyle name="Entrada 2 4 5 2" xfId="1815" xr:uid="{00000000-0005-0000-0000-00002D030000}"/>
    <cellStyle name="Entrada 2 4 5 3" xfId="2281" xr:uid="{00000000-0005-0000-0000-00002E030000}"/>
    <cellStyle name="Entrada 2 4 6" xfId="967" xr:uid="{00000000-0005-0000-0000-00002F030000}"/>
    <cellStyle name="Entrada 2 4 6 2" xfId="1765" xr:uid="{00000000-0005-0000-0000-000030030000}"/>
    <cellStyle name="Entrada 2 4 6 3" xfId="2254" xr:uid="{00000000-0005-0000-0000-000031030000}"/>
    <cellStyle name="Entrada 2 4 7" xfId="822" xr:uid="{00000000-0005-0000-0000-000032030000}"/>
    <cellStyle name="Entrada 2 4 7 2" xfId="1646" xr:uid="{00000000-0005-0000-0000-000033030000}"/>
    <cellStyle name="Entrada 2 4 7 3" xfId="2247" xr:uid="{00000000-0005-0000-0000-000034030000}"/>
    <cellStyle name="Entrada 2 4 8" xfId="731" xr:uid="{00000000-0005-0000-0000-000035030000}"/>
    <cellStyle name="Entrada 2 4 8 2" xfId="1555" xr:uid="{00000000-0005-0000-0000-000036030000}"/>
    <cellStyle name="Entrada 2 4 8 3" xfId="450" xr:uid="{00000000-0005-0000-0000-000037030000}"/>
    <cellStyle name="Entrada 2 4 9" xfId="924" xr:uid="{00000000-0005-0000-0000-000038030000}"/>
    <cellStyle name="Entrada 2 4 9 2" xfId="1727" xr:uid="{00000000-0005-0000-0000-000039030000}"/>
    <cellStyle name="Entrada 2 4 9 3" xfId="2662" xr:uid="{00000000-0005-0000-0000-00003A030000}"/>
    <cellStyle name="Entrada 2 5" xfId="1425" xr:uid="{00000000-0005-0000-0000-00003B030000}"/>
    <cellStyle name="Entrada 2 5 2" xfId="2945" xr:uid="{00000000-0005-0000-0000-00003C030000}"/>
    <cellStyle name="Entrada 3" xfId="131" xr:uid="{00000000-0005-0000-0000-00003D030000}"/>
    <cellStyle name="Entrada 3 2" xfId="132" xr:uid="{00000000-0005-0000-0000-00003E030000}"/>
    <cellStyle name="Entrada 3 2 2" xfId="356" xr:uid="{00000000-0005-0000-0000-00003F030000}"/>
    <cellStyle name="Entrada 3 2 2 10" xfId="1261" xr:uid="{00000000-0005-0000-0000-000040030000}"/>
    <cellStyle name="Entrada 3 2 2 10 2" xfId="2049" xr:uid="{00000000-0005-0000-0000-000041030000}"/>
    <cellStyle name="Entrada 3 2 2 10 3" xfId="2796" xr:uid="{00000000-0005-0000-0000-000042030000}"/>
    <cellStyle name="Entrada 3 2 2 11" xfId="790" xr:uid="{00000000-0005-0000-0000-000043030000}"/>
    <cellStyle name="Entrada 3 2 2 11 2" xfId="1614" xr:uid="{00000000-0005-0000-0000-000044030000}"/>
    <cellStyle name="Entrada 3 2 2 11 3" xfId="2246" xr:uid="{00000000-0005-0000-0000-000045030000}"/>
    <cellStyle name="Entrada 3 2 2 12" xfId="1062" xr:uid="{00000000-0005-0000-0000-000046030000}"/>
    <cellStyle name="Entrada 3 2 2 12 2" xfId="1858" xr:uid="{00000000-0005-0000-0000-000047030000}"/>
    <cellStyle name="Entrada 3 2 2 12 3" xfId="617" xr:uid="{00000000-0005-0000-0000-000048030000}"/>
    <cellStyle name="Entrada 3 2 2 13" xfId="1306" xr:uid="{00000000-0005-0000-0000-000049030000}"/>
    <cellStyle name="Entrada 3 2 2 13 2" xfId="2094" xr:uid="{00000000-0005-0000-0000-00004A030000}"/>
    <cellStyle name="Entrada 3 2 2 13 3" xfId="2837" xr:uid="{00000000-0005-0000-0000-00004B030000}"/>
    <cellStyle name="Entrada 3 2 2 14" xfId="1327" xr:uid="{00000000-0005-0000-0000-00004C030000}"/>
    <cellStyle name="Entrada 3 2 2 14 2" xfId="2115" xr:uid="{00000000-0005-0000-0000-00004D030000}"/>
    <cellStyle name="Entrada 3 2 2 14 3" xfId="2856" xr:uid="{00000000-0005-0000-0000-00004E030000}"/>
    <cellStyle name="Entrada 3 2 2 15" xfId="1347" xr:uid="{00000000-0005-0000-0000-00004F030000}"/>
    <cellStyle name="Entrada 3 2 2 15 2" xfId="2135" xr:uid="{00000000-0005-0000-0000-000050030000}"/>
    <cellStyle name="Entrada 3 2 2 15 3" xfId="2876" xr:uid="{00000000-0005-0000-0000-000051030000}"/>
    <cellStyle name="Entrada 3 2 2 16" xfId="1369" xr:uid="{00000000-0005-0000-0000-000052030000}"/>
    <cellStyle name="Entrada 3 2 2 16 2" xfId="2157" xr:uid="{00000000-0005-0000-0000-000053030000}"/>
    <cellStyle name="Entrada 3 2 2 16 3" xfId="2898" xr:uid="{00000000-0005-0000-0000-000054030000}"/>
    <cellStyle name="Entrada 3 2 2 17" xfId="1388" xr:uid="{00000000-0005-0000-0000-000055030000}"/>
    <cellStyle name="Entrada 3 2 2 17 2" xfId="2176" xr:uid="{00000000-0005-0000-0000-000056030000}"/>
    <cellStyle name="Entrada 3 2 2 17 3" xfId="2915" xr:uid="{00000000-0005-0000-0000-000057030000}"/>
    <cellStyle name="Entrada 3 2 2 18" xfId="1398" xr:uid="{00000000-0005-0000-0000-000058030000}"/>
    <cellStyle name="Entrada 3 2 2 18 2" xfId="2186" xr:uid="{00000000-0005-0000-0000-000059030000}"/>
    <cellStyle name="Entrada 3 2 2 18 3" xfId="2925" xr:uid="{00000000-0005-0000-0000-00005A030000}"/>
    <cellStyle name="Entrada 3 2 2 19" xfId="1455" xr:uid="{00000000-0005-0000-0000-00005B030000}"/>
    <cellStyle name="Entrada 3 2 2 19 2" xfId="2958" xr:uid="{00000000-0005-0000-0000-00005C030000}"/>
    <cellStyle name="Entrada 3 2 2 2" xfId="1011" xr:uid="{00000000-0005-0000-0000-00005D030000}"/>
    <cellStyle name="Entrada 3 2 2 2 2" xfId="1809" xr:uid="{00000000-0005-0000-0000-00005E030000}"/>
    <cellStyle name="Entrada 3 2 2 2 3" xfId="2639" xr:uid="{00000000-0005-0000-0000-00005F030000}"/>
    <cellStyle name="Entrada 3 2 2 20" xfId="653" xr:uid="{00000000-0005-0000-0000-000060030000}"/>
    <cellStyle name="Entrada 3 2 2 21" xfId="1512" xr:uid="{00000000-0005-0000-0000-000061030000}"/>
    <cellStyle name="Entrada 3 2 2 22" xfId="1514" xr:uid="{00000000-0005-0000-0000-000062030000}"/>
    <cellStyle name="Entrada 3 2 2 23" xfId="2211" xr:uid="{00000000-0005-0000-0000-000063030000}"/>
    <cellStyle name="Entrada 3 2 2 3" xfId="733" xr:uid="{00000000-0005-0000-0000-000064030000}"/>
    <cellStyle name="Entrada 3 2 2 3 2" xfId="1557" xr:uid="{00000000-0005-0000-0000-000065030000}"/>
    <cellStyle name="Entrada 3 2 2 3 3" xfId="2656" xr:uid="{00000000-0005-0000-0000-000066030000}"/>
    <cellStyle name="Entrada 3 2 2 4" xfId="988" xr:uid="{00000000-0005-0000-0000-000067030000}"/>
    <cellStyle name="Entrada 3 2 2 4 2" xfId="1786" xr:uid="{00000000-0005-0000-0000-000068030000}"/>
    <cellStyle name="Entrada 3 2 2 4 3" xfId="2694" xr:uid="{00000000-0005-0000-0000-000069030000}"/>
    <cellStyle name="Entrada 3 2 2 5" xfId="1046" xr:uid="{00000000-0005-0000-0000-00006A030000}"/>
    <cellStyle name="Entrada 3 2 2 5 2" xfId="1842" xr:uid="{00000000-0005-0000-0000-00006B030000}"/>
    <cellStyle name="Entrada 3 2 2 5 3" xfId="2666" xr:uid="{00000000-0005-0000-0000-00006C030000}"/>
    <cellStyle name="Entrada 3 2 2 6" xfId="949" xr:uid="{00000000-0005-0000-0000-00006D030000}"/>
    <cellStyle name="Entrada 3 2 2 6 2" xfId="1748" xr:uid="{00000000-0005-0000-0000-00006E030000}"/>
    <cellStyle name="Entrada 3 2 2 6 3" xfId="683" xr:uid="{00000000-0005-0000-0000-00006F030000}"/>
    <cellStyle name="Entrada 3 2 2 7" xfId="1161" xr:uid="{00000000-0005-0000-0000-000070030000}"/>
    <cellStyle name="Entrada 3 2 2 7 2" xfId="1949" xr:uid="{00000000-0005-0000-0000-000071030000}"/>
    <cellStyle name="Entrada 3 2 2 7 3" xfId="2708" xr:uid="{00000000-0005-0000-0000-000072030000}"/>
    <cellStyle name="Entrada 3 2 2 8" xfId="855" xr:uid="{00000000-0005-0000-0000-000073030000}"/>
    <cellStyle name="Entrada 3 2 2 8 2" xfId="1662" xr:uid="{00000000-0005-0000-0000-000074030000}"/>
    <cellStyle name="Entrada 3 2 2 8 3" xfId="2661" xr:uid="{00000000-0005-0000-0000-000075030000}"/>
    <cellStyle name="Entrada 3 2 2 9" xfId="860" xr:uid="{00000000-0005-0000-0000-000076030000}"/>
    <cellStyle name="Entrada 3 2 2 9 2" xfId="1666" xr:uid="{00000000-0005-0000-0000-000077030000}"/>
    <cellStyle name="Entrada 3 2 2 9 3" xfId="2455" xr:uid="{00000000-0005-0000-0000-000078030000}"/>
    <cellStyle name="Entrada 3 2 3" xfId="265" xr:uid="{00000000-0005-0000-0000-000079030000}"/>
    <cellStyle name="Entrada 3 2 3 10" xfId="771" xr:uid="{00000000-0005-0000-0000-00007A030000}"/>
    <cellStyle name="Entrada 3 2 3 10 2" xfId="1595" xr:uid="{00000000-0005-0000-0000-00007B030000}"/>
    <cellStyle name="Entrada 3 2 3 10 3" xfId="557" xr:uid="{00000000-0005-0000-0000-00007C030000}"/>
    <cellStyle name="Entrada 3 2 3 11" xfId="1093" xr:uid="{00000000-0005-0000-0000-00007D030000}"/>
    <cellStyle name="Entrada 3 2 3 11 2" xfId="1881" xr:uid="{00000000-0005-0000-0000-00007E030000}"/>
    <cellStyle name="Entrada 3 2 3 11 3" xfId="507" xr:uid="{00000000-0005-0000-0000-00007F030000}"/>
    <cellStyle name="Entrada 3 2 3 12" xfId="1024" xr:uid="{00000000-0005-0000-0000-000080030000}"/>
    <cellStyle name="Entrada 3 2 3 12 2" xfId="1822" xr:uid="{00000000-0005-0000-0000-000081030000}"/>
    <cellStyle name="Entrada 3 2 3 12 3" xfId="2370" xr:uid="{00000000-0005-0000-0000-000082030000}"/>
    <cellStyle name="Entrada 3 2 3 13" xfId="844" xr:uid="{00000000-0005-0000-0000-000083030000}"/>
    <cellStyle name="Entrada 3 2 3 13 2" xfId="1658" xr:uid="{00000000-0005-0000-0000-000084030000}"/>
    <cellStyle name="Entrada 3 2 3 13 3" xfId="550" xr:uid="{00000000-0005-0000-0000-000085030000}"/>
    <cellStyle name="Entrada 3 2 3 14" xfId="918" xr:uid="{00000000-0005-0000-0000-000086030000}"/>
    <cellStyle name="Entrada 3 2 3 14 2" xfId="1721" xr:uid="{00000000-0005-0000-0000-000087030000}"/>
    <cellStyle name="Entrada 3 2 3 14 3" xfId="1533" xr:uid="{00000000-0005-0000-0000-000088030000}"/>
    <cellStyle name="Entrada 3 2 3 15" xfId="1280" xr:uid="{00000000-0005-0000-0000-000089030000}"/>
    <cellStyle name="Entrada 3 2 3 15 2" xfId="2068" xr:uid="{00000000-0005-0000-0000-00008A030000}"/>
    <cellStyle name="Entrada 3 2 3 15 3" xfId="2814" xr:uid="{00000000-0005-0000-0000-00008B030000}"/>
    <cellStyle name="Entrada 3 2 3 16" xfId="1351" xr:uid="{00000000-0005-0000-0000-00008C030000}"/>
    <cellStyle name="Entrada 3 2 3 16 2" xfId="2139" xr:uid="{00000000-0005-0000-0000-00008D030000}"/>
    <cellStyle name="Entrada 3 2 3 16 3" xfId="2880" xr:uid="{00000000-0005-0000-0000-00008E030000}"/>
    <cellStyle name="Entrada 3 2 3 17" xfId="1098" xr:uid="{00000000-0005-0000-0000-00008F030000}"/>
    <cellStyle name="Entrada 3 2 3 17 2" xfId="1886" xr:uid="{00000000-0005-0000-0000-000090030000}"/>
    <cellStyle name="Entrada 3 2 3 17 3" xfId="503" xr:uid="{00000000-0005-0000-0000-000091030000}"/>
    <cellStyle name="Entrada 3 2 3 18" xfId="1181" xr:uid="{00000000-0005-0000-0000-000092030000}"/>
    <cellStyle name="Entrada 3 2 3 18 2" xfId="1969" xr:uid="{00000000-0005-0000-0000-000093030000}"/>
    <cellStyle name="Entrada 3 2 3 18 3" xfId="2727" xr:uid="{00000000-0005-0000-0000-000094030000}"/>
    <cellStyle name="Entrada 3 2 3 19" xfId="1421" xr:uid="{00000000-0005-0000-0000-000095030000}"/>
    <cellStyle name="Entrada 3 2 3 19 2" xfId="2943" xr:uid="{00000000-0005-0000-0000-000096030000}"/>
    <cellStyle name="Entrada 3 2 3 2" xfId="940" xr:uid="{00000000-0005-0000-0000-000097030000}"/>
    <cellStyle name="Entrada 3 2 3 2 2" xfId="1741" xr:uid="{00000000-0005-0000-0000-000098030000}"/>
    <cellStyle name="Entrada 3 2 3 2 3" xfId="2406" xr:uid="{00000000-0005-0000-0000-000099030000}"/>
    <cellStyle name="Entrada 3 2 3 20" xfId="585" xr:uid="{00000000-0005-0000-0000-00009A030000}"/>
    <cellStyle name="Entrada 3 2 3 21" xfId="465" xr:uid="{00000000-0005-0000-0000-00009B030000}"/>
    <cellStyle name="Entrada 3 2 3 22" xfId="476" xr:uid="{00000000-0005-0000-0000-00009C030000}"/>
    <cellStyle name="Entrada 3 2 3 23" xfId="1547" xr:uid="{00000000-0005-0000-0000-00009D030000}"/>
    <cellStyle name="Entrada 3 2 3 3" xfId="808" xr:uid="{00000000-0005-0000-0000-00009E030000}"/>
    <cellStyle name="Entrada 3 2 3 3 2" xfId="1632" xr:uid="{00000000-0005-0000-0000-00009F030000}"/>
    <cellStyle name="Entrada 3 2 3 3 3" xfId="522" xr:uid="{00000000-0005-0000-0000-0000A0030000}"/>
    <cellStyle name="Entrada 3 2 3 4" xfId="802" xr:uid="{00000000-0005-0000-0000-0000A1030000}"/>
    <cellStyle name="Entrada 3 2 3 4 2" xfId="1626" xr:uid="{00000000-0005-0000-0000-0000A2030000}"/>
    <cellStyle name="Entrada 3 2 3 4 3" xfId="2585" xr:uid="{00000000-0005-0000-0000-0000A3030000}"/>
    <cellStyle name="Entrada 3 2 3 5" xfId="749" xr:uid="{00000000-0005-0000-0000-0000A4030000}"/>
    <cellStyle name="Entrada 3 2 3 5 2" xfId="1573" xr:uid="{00000000-0005-0000-0000-0000A5030000}"/>
    <cellStyle name="Entrada 3 2 3 5 3" xfId="2468" xr:uid="{00000000-0005-0000-0000-0000A6030000}"/>
    <cellStyle name="Entrada 3 2 3 6" xfId="1132" xr:uid="{00000000-0005-0000-0000-0000A7030000}"/>
    <cellStyle name="Entrada 3 2 3 6 2" xfId="1920" xr:uid="{00000000-0005-0000-0000-0000A8030000}"/>
    <cellStyle name="Entrada 3 2 3 6 3" xfId="1543" xr:uid="{00000000-0005-0000-0000-0000A9030000}"/>
    <cellStyle name="Entrada 3 2 3 7" xfId="867" xr:uid="{00000000-0005-0000-0000-0000AA030000}"/>
    <cellStyle name="Entrada 3 2 3 7 2" xfId="1673" xr:uid="{00000000-0005-0000-0000-0000AB030000}"/>
    <cellStyle name="Entrada 3 2 3 7 3" xfId="2302" xr:uid="{00000000-0005-0000-0000-0000AC030000}"/>
    <cellStyle name="Entrada 3 2 3 8" xfId="994" xr:uid="{00000000-0005-0000-0000-0000AD030000}"/>
    <cellStyle name="Entrada 3 2 3 8 2" xfId="1792" xr:uid="{00000000-0005-0000-0000-0000AE030000}"/>
    <cellStyle name="Entrada 3 2 3 8 3" xfId="573" xr:uid="{00000000-0005-0000-0000-0000AF030000}"/>
    <cellStyle name="Entrada 3 2 3 9" xfId="786" xr:uid="{00000000-0005-0000-0000-0000B0030000}"/>
    <cellStyle name="Entrada 3 2 3 9 2" xfId="1610" xr:uid="{00000000-0005-0000-0000-0000B1030000}"/>
    <cellStyle name="Entrada 3 2 3 9 3" xfId="2351" xr:uid="{00000000-0005-0000-0000-0000B2030000}"/>
    <cellStyle name="Entrada 3 2 4" xfId="1415" xr:uid="{00000000-0005-0000-0000-0000B3030000}"/>
    <cellStyle name="Entrada 3 2 4 2" xfId="2938" xr:uid="{00000000-0005-0000-0000-0000B4030000}"/>
    <cellStyle name="Entrada 3 3" xfId="355" xr:uid="{00000000-0005-0000-0000-0000B5030000}"/>
    <cellStyle name="Entrada 3 3 10" xfId="1263" xr:uid="{00000000-0005-0000-0000-0000B6030000}"/>
    <cellStyle name="Entrada 3 3 10 2" xfId="2051" xr:uid="{00000000-0005-0000-0000-0000B7030000}"/>
    <cellStyle name="Entrada 3 3 10 3" xfId="2798" xr:uid="{00000000-0005-0000-0000-0000B8030000}"/>
    <cellStyle name="Entrada 3 3 11" xfId="1295" xr:uid="{00000000-0005-0000-0000-0000B9030000}"/>
    <cellStyle name="Entrada 3 3 11 2" xfId="2083" xr:uid="{00000000-0005-0000-0000-0000BA030000}"/>
    <cellStyle name="Entrada 3 3 11 3" xfId="2827" xr:uid="{00000000-0005-0000-0000-0000BB030000}"/>
    <cellStyle name="Entrada 3 3 12" xfId="1164" xr:uid="{00000000-0005-0000-0000-0000BC030000}"/>
    <cellStyle name="Entrada 3 3 12 2" xfId="1952" xr:uid="{00000000-0005-0000-0000-0000BD030000}"/>
    <cellStyle name="Entrada 3 3 12 3" xfId="2711" xr:uid="{00000000-0005-0000-0000-0000BE030000}"/>
    <cellStyle name="Entrada 3 3 13" xfId="1231" xr:uid="{00000000-0005-0000-0000-0000BF030000}"/>
    <cellStyle name="Entrada 3 3 13 2" xfId="2019" xr:uid="{00000000-0005-0000-0000-0000C0030000}"/>
    <cellStyle name="Entrada 3 3 13 3" xfId="2768" xr:uid="{00000000-0005-0000-0000-0000C1030000}"/>
    <cellStyle name="Entrada 3 3 14" xfId="1251" xr:uid="{00000000-0005-0000-0000-0000C2030000}"/>
    <cellStyle name="Entrada 3 3 14 2" xfId="2039" xr:uid="{00000000-0005-0000-0000-0000C3030000}"/>
    <cellStyle name="Entrada 3 3 14 3" xfId="2788" xr:uid="{00000000-0005-0000-0000-0000C4030000}"/>
    <cellStyle name="Entrada 3 3 15" xfId="1190" xr:uid="{00000000-0005-0000-0000-0000C5030000}"/>
    <cellStyle name="Entrada 3 3 15 2" xfId="1978" xr:uid="{00000000-0005-0000-0000-0000C6030000}"/>
    <cellStyle name="Entrada 3 3 15 3" xfId="2736" xr:uid="{00000000-0005-0000-0000-0000C7030000}"/>
    <cellStyle name="Entrada 3 3 16" xfId="1370" xr:uid="{00000000-0005-0000-0000-0000C8030000}"/>
    <cellStyle name="Entrada 3 3 16 2" xfId="2158" xr:uid="{00000000-0005-0000-0000-0000C9030000}"/>
    <cellStyle name="Entrada 3 3 16 3" xfId="2899" xr:uid="{00000000-0005-0000-0000-0000CA030000}"/>
    <cellStyle name="Entrada 3 3 17" xfId="1298" xr:uid="{00000000-0005-0000-0000-0000CB030000}"/>
    <cellStyle name="Entrada 3 3 17 2" xfId="2086" xr:uid="{00000000-0005-0000-0000-0000CC030000}"/>
    <cellStyle name="Entrada 3 3 17 3" xfId="2830" xr:uid="{00000000-0005-0000-0000-0000CD030000}"/>
    <cellStyle name="Entrada 3 3 18" xfId="943" xr:uid="{00000000-0005-0000-0000-0000CE030000}"/>
    <cellStyle name="Entrada 3 3 18 2" xfId="1744" xr:uid="{00000000-0005-0000-0000-0000CF030000}"/>
    <cellStyle name="Entrada 3 3 18 3" xfId="2322" xr:uid="{00000000-0005-0000-0000-0000D0030000}"/>
    <cellStyle name="Entrada 3 3 19" xfId="1469" xr:uid="{00000000-0005-0000-0000-0000D1030000}"/>
    <cellStyle name="Entrada 3 3 19 2" xfId="2962" xr:uid="{00000000-0005-0000-0000-0000D2030000}"/>
    <cellStyle name="Entrada 3 3 2" xfId="1010" xr:uid="{00000000-0005-0000-0000-0000D3030000}"/>
    <cellStyle name="Entrada 3 3 2 2" xfId="1808" xr:uid="{00000000-0005-0000-0000-0000D4030000}"/>
    <cellStyle name="Entrada 3 3 2 3" xfId="2345" xr:uid="{00000000-0005-0000-0000-0000D5030000}"/>
    <cellStyle name="Entrada 3 3 20" xfId="652" xr:uid="{00000000-0005-0000-0000-0000D6030000}"/>
    <cellStyle name="Entrada 3 3 21" xfId="1511" xr:uid="{00000000-0005-0000-0000-0000D7030000}"/>
    <cellStyle name="Entrada 3 3 22" xfId="462" xr:uid="{00000000-0005-0000-0000-0000D8030000}"/>
    <cellStyle name="Entrada 3 3 23" xfId="1772" xr:uid="{00000000-0005-0000-0000-0000D9030000}"/>
    <cellStyle name="Entrada 3 3 3" xfId="734" xr:uid="{00000000-0005-0000-0000-0000DA030000}"/>
    <cellStyle name="Entrada 3 3 3 2" xfId="1558" xr:uid="{00000000-0005-0000-0000-0000DB030000}"/>
    <cellStyle name="Entrada 3 3 3 3" xfId="2379" xr:uid="{00000000-0005-0000-0000-0000DC030000}"/>
    <cellStyle name="Entrada 3 3 4" xfId="1056" xr:uid="{00000000-0005-0000-0000-0000DD030000}"/>
    <cellStyle name="Entrada 3 3 4 2" xfId="1852" xr:uid="{00000000-0005-0000-0000-0000DE030000}"/>
    <cellStyle name="Entrada 3 3 4 3" xfId="2276" xr:uid="{00000000-0005-0000-0000-0000DF030000}"/>
    <cellStyle name="Entrada 3 3 5" xfId="1067" xr:uid="{00000000-0005-0000-0000-0000E0030000}"/>
    <cellStyle name="Entrada 3 3 5 2" xfId="1863" xr:uid="{00000000-0005-0000-0000-0000E1030000}"/>
    <cellStyle name="Entrada 3 3 5 3" xfId="2500" xr:uid="{00000000-0005-0000-0000-0000E2030000}"/>
    <cellStyle name="Entrada 3 3 6" xfId="1182" xr:uid="{00000000-0005-0000-0000-0000E3030000}"/>
    <cellStyle name="Entrada 3 3 6 2" xfId="1970" xr:uid="{00000000-0005-0000-0000-0000E4030000}"/>
    <cellStyle name="Entrada 3 3 6 3" xfId="2728" xr:uid="{00000000-0005-0000-0000-0000E5030000}"/>
    <cellStyle name="Entrada 3 3 7" xfId="885" xr:uid="{00000000-0005-0000-0000-0000E6030000}"/>
    <cellStyle name="Entrada 3 3 7 2" xfId="1690" xr:uid="{00000000-0005-0000-0000-0000E7030000}"/>
    <cellStyle name="Entrada 3 3 7 3" xfId="1485" xr:uid="{00000000-0005-0000-0000-0000E8030000}"/>
    <cellStyle name="Entrada 3 3 8" xfId="910" xr:uid="{00000000-0005-0000-0000-0000E9030000}"/>
    <cellStyle name="Entrada 3 3 8 2" xfId="1713" xr:uid="{00000000-0005-0000-0000-0000EA030000}"/>
    <cellStyle name="Entrada 3 3 8 3" xfId="2697" xr:uid="{00000000-0005-0000-0000-0000EB030000}"/>
    <cellStyle name="Entrada 3 3 9" xfId="1152" xr:uid="{00000000-0005-0000-0000-0000EC030000}"/>
    <cellStyle name="Entrada 3 3 9 2" xfId="1940" xr:uid="{00000000-0005-0000-0000-0000ED030000}"/>
    <cellStyle name="Entrada 3 3 9 3" xfId="2700" xr:uid="{00000000-0005-0000-0000-0000EE030000}"/>
    <cellStyle name="Entrada 3 4" xfId="264" xr:uid="{00000000-0005-0000-0000-0000EF030000}"/>
    <cellStyle name="Entrada 3 4 10" xfId="1173" xr:uid="{00000000-0005-0000-0000-0000F0030000}"/>
    <cellStyle name="Entrada 3 4 10 2" xfId="1961" xr:uid="{00000000-0005-0000-0000-0000F1030000}"/>
    <cellStyle name="Entrada 3 4 10 3" xfId="2719" xr:uid="{00000000-0005-0000-0000-0000F2030000}"/>
    <cellStyle name="Entrada 3 4 11" xfId="1268" xr:uid="{00000000-0005-0000-0000-0000F3030000}"/>
    <cellStyle name="Entrada 3 4 11 2" xfId="2056" xr:uid="{00000000-0005-0000-0000-0000F4030000}"/>
    <cellStyle name="Entrada 3 4 11 3" xfId="2802" xr:uid="{00000000-0005-0000-0000-0000F5030000}"/>
    <cellStyle name="Entrada 3 4 12" xfId="1184" xr:uid="{00000000-0005-0000-0000-0000F6030000}"/>
    <cellStyle name="Entrada 3 4 12 2" xfId="1972" xr:uid="{00000000-0005-0000-0000-0000F7030000}"/>
    <cellStyle name="Entrada 3 4 12 3" xfId="2730" xr:uid="{00000000-0005-0000-0000-0000F8030000}"/>
    <cellStyle name="Entrada 3 4 13" xfId="1281" xr:uid="{00000000-0005-0000-0000-0000F9030000}"/>
    <cellStyle name="Entrada 3 4 13 2" xfId="2069" xr:uid="{00000000-0005-0000-0000-0000FA030000}"/>
    <cellStyle name="Entrada 3 4 13 3" xfId="2815" xr:uid="{00000000-0005-0000-0000-0000FB030000}"/>
    <cellStyle name="Entrada 3 4 14" xfId="926" xr:uid="{00000000-0005-0000-0000-0000FC030000}"/>
    <cellStyle name="Entrada 3 4 14 2" xfId="1729" xr:uid="{00000000-0005-0000-0000-0000FD030000}"/>
    <cellStyle name="Entrada 3 4 14 3" xfId="567" xr:uid="{00000000-0005-0000-0000-0000FE030000}"/>
    <cellStyle name="Entrada 3 4 15" xfId="1278" xr:uid="{00000000-0005-0000-0000-0000FF030000}"/>
    <cellStyle name="Entrada 3 4 15 2" xfId="2066" xr:uid="{00000000-0005-0000-0000-000000040000}"/>
    <cellStyle name="Entrada 3 4 15 3" xfId="2812" xr:uid="{00000000-0005-0000-0000-000001040000}"/>
    <cellStyle name="Entrada 3 4 16" xfId="1185" xr:uid="{00000000-0005-0000-0000-000002040000}"/>
    <cellStyle name="Entrada 3 4 16 2" xfId="1973" xr:uid="{00000000-0005-0000-0000-000003040000}"/>
    <cellStyle name="Entrada 3 4 16 3" xfId="2731" xr:uid="{00000000-0005-0000-0000-000004040000}"/>
    <cellStyle name="Entrada 3 4 17" xfId="1314" xr:uid="{00000000-0005-0000-0000-000005040000}"/>
    <cellStyle name="Entrada 3 4 17 2" xfId="2102" xr:uid="{00000000-0005-0000-0000-000006040000}"/>
    <cellStyle name="Entrada 3 4 17 3" xfId="2845" xr:uid="{00000000-0005-0000-0000-000007040000}"/>
    <cellStyle name="Entrada 3 4 18" xfId="1374" xr:uid="{00000000-0005-0000-0000-000008040000}"/>
    <cellStyle name="Entrada 3 4 18 2" xfId="2162" xr:uid="{00000000-0005-0000-0000-000009040000}"/>
    <cellStyle name="Entrada 3 4 18 3" xfId="2903" xr:uid="{00000000-0005-0000-0000-00000A040000}"/>
    <cellStyle name="Entrada 3 4 19" xfId="1477" xr:uid="{00000000-0005-0000-0000-00000B040000}"/>
    <cellStyle name="Entrada 3 4 19 2" xfId="2963" xr:uid="{00000000-0005-0000-0000-00000C040000}"/>
    <cellStyle name="Entrada 3 4 2" xfId="939" xr:uid="{00000000-0005-0000-0000-00000D040000}"/>
    <cellStyle name="Entrada 3 4 2 2" xfId="1740" xr:uid="{00000000-0005-0000-0000-00000E040000}"/>
    <cellStyle name="Entrada 3 4 2 3" xfId="2564" xr:uid="{00000000-0005-0000-0000-00000F040000}"/>
    <cellStyle name="Entrada 3 4 20" xfId="584" xr:uid="{00000000-0005-0000-0000-000010040000}"/>
    <cellStyle name="Entrada 3 4 21" xfId="466" xr:uid="{00000000-0005-0000-0000-000011040000}"/>
    <cellStyle name="Entrada 3 4 22" xfId="475" xr:uid="{00000000-0005-0000-0000-000012040000}"/>
    <cellStyle name="Entrada 3 4 23" xfId="527" xr:uid="{00000000-0005-0000-0000-000013040000}"/>
    <cellStyle name="Entrada 3 4 3" xfId="809" xr:uid="{00000000-0005-0000-0000-000014040000}"/>
    <cellStyle name="Entrada 3 4 3 2" xfId="1633" xr:uid="{00000000-0005-0000-0000-000015040000}"/>
    <cellStyle name="Entrada 3 4 3 3" xfId="2670" xr:uid="{00000000-0005-0000-0000-000016040000}"/>
    <cellStyle name="Entrada 3 4 4" xfId="1075" xr:uid="{00000000-0005-0000-0000-000017040000}"/>
    <cellStyle name="Entrada 3 4 4 2" xfId="1870" xr:uid="{00000000-0005-0000-0000-000018040000}"/>
    <cellStyle name="Entrada 3 4 4 3" xfId="1697" xr:uid="{00000000-0005-0000-0000-000019040000}"/>
    <cellStyle name="Entrada 3 4 5" xfId="816" xr:uid="{00000000-0005-0000-0000-00001A040000}"/>
    <cellStyle name="Entrada 3 4 5 2" xfId="1640" xr:uid="{00000000-0005-0000-0000-00001B040000}"/>
    <cellStyle name="Entrada 3 4 5 3" xfId="2228" xr:uid="{00000000-0005-0000-0000-00001C040000}"/>
    <cellStyle name="Entrada 3 4 6" xfId="1147" xr:uid="{00000000-0005-0000-0000-00001D040000}"/>
    <cellStyle name="Entrada 3 4 6 2" xfId="1935" xr:uid="{00000000-0005-0000-0000-00001E040000}"/>
    <cellStyle name="Entrada 3 4 6 3" xfId="2222" xr:uid="{00000000-0005-0000-0000-00001F040000}"/>
    <cellStyle name="Entrada 3 4 7" xfId="1154" xr:uid="{00000000-0005-0000-0000-000020040000}"/>
    <cellStyle name="Entrada 3 4 7 2" xfId="1942" xr:uid="{00000000-0005-0000-0000-000021040000}"/>
    <cellStyle name="Entrada 3 4 7 3" xfId="2701" xr:uid="{00000000-0005-0000-0000-000022040000}"/>
    <cellStyle name="Entrada 3 4 8" xfId="1115" xr:uid="{00000000-0005-0000-0000-000023040000}"/>
    <cellStyle name="Entrada 3 4 8 2" xfId="1903" xr:uid="{00000000-0005-0000-0000-000024040000}"/>
    <cellStyle name="Entrada 3 4 8 3" xfId="489" xr:uid="{00000000-0005-0000-0000-000025040000}"/>
    <cellStyle name="Entrada 3 4 9" xfId="1061" xr:uid="{00000000-0005-0000-0000-000026040000}"/>
    <cellStyle name="Entrada 3 4 9 2" xfId="1857" xr:uid="{00000000-0005-0000-0000-000027040000}"/>
    <cellStyle name="Entrada 3 4 9 3" xfId="2323" xr:uid="{00000000-0005-0000-0000-000028040000}"/>
    <cellStyle name="Entrada 3 5" xfId="1405" xr:uid="{00000000-0005-0000-0000-000029040000}"/>
    <cellStyle name="Entrada 3 5 2" xfId="2931" xr:uid="{00000000-0005-0000-0000-00002A040000}"/>
    <cellStyle name="Excel Built-in Explanatory Text" xfId="2982" xr:uid="{00000000-0005-0000-0000-00002B040000}"/>
    <cellStyle name="Hyperlink 2" xfId="133" xr:uid="{00000000-0005-0000-0000-00002C040000}"/>
    <cellStyle name="Incorreto 2" xfId="134" xr:uid="{00000000-0005-0000-0000-00002D040000}"/>
    <cellStyle name="Incorreto 2 2" xfId="135" xr:uid="{00000000-0005-0000-0000-00002E040000}"/>
    <cellStyle name="Incorreto 3" xfId="136" xr:uid="{00000000-0005-0000-0000-00002F040000}"/>
    <cellStyle name="Incorreto 3 2" xfId="137" xr:uid="{00000000-0005-0000-0000-000030040000}"/>
    <cellStyle name="Moeda" xfId="1" builtinId="4"/>
    <cellStyle name="Moeda 10" xfId="138" xr:uid="{00000000-0005-0000-0000-000032040000}"/>
    <cellStyle name="Moeda 10 2" xfId="139" xr:uid="{00000000-0005-0000-0000-000033040000}"/>
    <cellStyle name="Moeda 10 2 2" xfId="358" xr:uid="{00000000-0005-0000-0000-000034040000}"/>
    <cellStyle name="Moeda 10 2 2 2" xfId="655" xr:uid="{00000000-0005-0000-0000-000035040000}"/>
    <cellStyle name="Moeda 10 2 3" xfId="267" xr:uid="{00000000-0005-0000-0000-000036040000}"/>
    <cellStyle name="Moeda 10 2 3 2" xfId="587" xr:uid="{00000000-0005-0000-0000-000037040000}"/>
    <cellStyle name="Moeda 10 2 4" xfId="830" xr:uid="{00000000-0005-0000-0000-000038040000}"/>
    <cellStyle name="Moeda 10 3" xfId="357" xr:uid="{00000000-0005-0000-0000-000039040000}"/>
    <cellStyle name="Moeda 10 3 2" xfId="654" xr:uid="{00000000-0005-0000-0000-00003A040000}"/>
    <cellStyle name="Moeda 10 4" xfId="266" xr:uid="{00000000-0005-0000-0000-00003B040000}"/>
    <cellStyle name="Moeda 10 4 2" xfId="586" xr:uid="{00000000-0005-0000-0000-00003C040000}"/>
    <cellStyle name="Moeda 10 5" xfId="829" xr:uid="{00000000-0005-0000-0000-00003D040000}"/>
    <cellStyle name="Moeda 11" xfId="140" xr:uid="{00000000-0005-0000-0000-00003E040000}"/>
    <cellStyle name="Moeda 11 2" xfId="141" xr:uid="{00000000-0005-0000-0000-00003F040000}"/>
    <cellStyle name="Moeda 11 2 2" xfId="360" xr:uid="{00000000-0005-0000-0000-000040040000}"/>
    <cellStyle name="Moeda 11 2 2 2" xfId="657" xr:uid="{00000000-0005-0000-0000-000041040000}"/>
    <cellStyle name="Moeda 11 2 3" xfId="269" xr:uid="{00000000-0005-0000-0000-000042040000}"/>
    <cellStyle name="Moeda 11 2 3 2" xfId="589" xr:uid="{00000000-0005-0000-0000-000043040000}"/>
    <cellStyle name="Moeda 11 2 4" xfId="832" xr:uid="{00000000-0005-0000-0000-000044040000}"/>
    <cellStyle name="Moeda 11 3" xfId="359" xr:uid="{00000000-0005-0000-0000-000045040000}"/>
    <cellStyle name="Moeda 11 3 2" xfId="656" xr:uid="{00000000-0005-0000-0000-000046040000}"/>
    <cellStyle name="Moeda 11 4" xfId="268" xr:uid="{00000000-0005-0000-0000-000047040000}"/>
    <cellStyle name="Moeda 11 4 2" xfId="588" xr:uid="{00000000-0005-0000-0000-000048040000}"/>
    <cellStyle name="Moeda 11 5" xfId="831" xr:uid="{00000000-0005-0000-0000-000049040000}"/>
    <cellStyle name="Moeda 12" xfId="142" xr:uid="{00000000-0005-0000-0000-00004A040000}"/>
    <cellStyle name="Moeda 12 2" xfId="361" xr:uid="{00000000-0005-0000-0000-00004B040000}"/>
    <cellStyle name="Moeda 12 2 2" xfId="658" xr:uid="{00000000-0005-0000-0000-00004C040000}"/>
    <cellStyle name="Moeda 12 3" xfId="270" xr:uid="{00000000-0005-0000-0000-00004D040000}"/>
    <cellStyle name="Moeda 12 3 2" xfId="590" xr:uid="{00000000-0005-0000-0000-00004E040000}"/>
    <cellStyle name="Moeda 12 4" xfId="833" xr:uid="{00000000-0005-0000-0000-00004F040000}"/>
    <cellStyle name="Moeda 13" xfId="143" xr:uid="{00000000-0005-0000-0000-000050040000}"/>
    <cellStyle name="Moeda 13 2" xfId="362" xr:uid="{00000000-0005-0000-0000-000051040000}"/>
    <cellStyle name="Moeda 13 2 2" xfId="659" xr:uid="{00000000-0005-0000-0000-000052040000}"/>
    <cellStyle name="Moeda 13 3" xfId="271" xr:uid="{00000000-0005-0000-0000-000053040000}"/>
    <cellStyle name="Moeda 13 3 2" xfId="591" xr:uid="{00000000-0005-0000-0000-000054040000}"/>
    <cellStyle name="Moeda 13 4" xfId="834" xr:uid="{00000000-0005-0000-0000-000055040000}"/>
    <cellStyle name="Moeda 14" xfId="448" xr:uid="{00000000-0005-0000-0000-000056040000}"/>
    <cellStyle name="Moeda 14 2" xfId="719" xr:uid="{00000000-0005-0000-0000-000057040000}"/>
    <cellStyle name="Moeda 15" xfId="2975" xr:uid="{00000000-0005-0000-0000-000058040000}"/>
    <cellStyle name="Moeda 16" xfId="2979" xr:uid="{00000000-0005-0000-0000-000059040000}"/>
    <cellStyle name="Moeda 2" xfId="6" xr:uid="{00000000-0005-0000-0000-00005A040000}"/>
    <cellStyle name="Moeda 2 2" xfId="145" xr:uid="{00000000-0005-0000-0000-00005B040000}"/>
    <cellStyle name="Moeda 2 2 2" xfId="146" xr:uid="{00000000-0005-0000-0000-00005C040000}"/>
    <cellStyle name="Moeda 2 2 2 2" xfId="365" xr:uid="{00000000-0005-0000-0000-00005D040000}"/>
    <cellStyle name="Moeda 2 2 2 2 2" xfId="662" xr:uid="{00000000-0005-0000-0000-00005E040000}"/>
    <cellStyle name="Moeda 2 2 2 3" xfId="274" xr:uid="{00000000-0005-0000-0000-00005F040000}"/>
    <cellStyle name="Moeda 2 2 2 3 2" xfId="594" xr:uid="{00000000-0005-0000-0000-000060040000}"/>
    <cellStyle name="Moeda 2 2 2 4" xfId="523" xr:uid="{00000000-0005-0000-0000-000061040000}"/>
    <cellStyle name="Moeda 2 2 3" xfId="364" xr:uid="{00000000-0005-0000-0000-000062040000}"/>
    <cellStyle name="Moeda 2 2 3 2" xfId="661" xr:uid="{00000000-0005-0000-0000-000063040000}"/>
    <cellStyle name="Moeda 2 2 4" xfId="273" xr:uid="{00000000-0005-0000-0000-000064040000}"/>
    <cellStyle name="Moeda 2 2 4 2" xfId="593" xr:uid="{00000000-0005-0000-0000-000065040000}"/>
    <cellStyle name="Moeda 2 2 5" xfId="836" xr:uid="{00000000-0005-0000-0000-000066040000}"/>
    <cellStyle name="Moeda 2 3" xfId="147" xr:uid="{00000000-0005-0000-0000-000067040000}"/>
    <cellStyle name="Moeda 2 3 2" xfId="366" xr:uid="{00000000-0005-0000-0000-000068040000}"/>
    <cellStyle name="Moeda 2 3 2 2" xfId="663" xr:uid="{00000000-0005-0000-0000-000069040000}"/>
    <cellStyle name="Moeda 2 3 3" xfId="275" xr:uid="{00000000-0005-0000-0000-00006A040000}"/>
    <cellStyle name="Moeda 2 3 3 2" xfId="595" xr:uid="{00000000-0005-0000-0000-00006B040000}"/>
    <cellStyle name="Moeda 2 3 4" xfId="838" xr:uid="{00000000-0005-0000-0000-00006C040000}"/>
    <cellStyle name="Moeda 2 4" xfId="148" xr:uid="{00000000-0005-0000-0000-00006D040000}"/>
    <cellStyle name="Moeda 2 4 2" xfId="367" xr:uid="{00000000-0005-0000-0000-00006E040000}"/>
    <cellStyle name="Moeda 2 4 3" xfId="276" xr:uid="{00000000-0005-0000-0000-00006F040000}"/>
    <cellStyle name="Moeda 2 5" xfId="149" xr:uid="{00000000-0005-0000-0000-000070040000}"/>
    <cellStyle name="Moeda 2 5 2" xfId="368" xr:uid="{00000000-0005-0000-0000-000071040000}"/>
    <cellStyle name="Moeda 2 5 2 2" xfId="1020" xr:uid="{00000000-0005-0000-0000-000072040000}"/>
    <cellStyle name="Moeda 2 5 2 3" xfId="1460" xr:uid="{00000000-0005-0000-0000-000073040000}"/>
    <cellStyle name="Moeda 2 5 2 4" xfId="664" xr:uid="{00000000-0005-0000-0000-000074040000}"/>
    <cellStyle name="Moeda 2 5 3" xfId="277" xr:uid="{00000000-0005-0000-0000-000075040000}"/>
    <cellStyle name="Moeda 2 5 3 2" xfId="946" xr:uid="{00000000-0005-0000-0000-000076040000}"/>
    <cellStyle name="Moeda 2 5 3 3" xfId="1444" xr:uid="{00000000-0005-0000-0000-000077040000}"/>
    <cellStyle name="Moeda 2 5 3 4" xfId="596" xr:uid="{00000000-0005-0000-0000-000078040000}"/>
    <cellStyle name="Moeda 2 5 4" xfId="840" xr:uid="{00000000-0005-0000-0000-000079040000}"/>
    <cellStyle name="Moeda 2 5 5" xfId="1423" xr:uid="{00000000-0005-0000-0000-00007A040000}"/>
    <cellStyle name="Moeda 2 5 6" xfId="525" xr:uid="{00000000-0005-0000-0000-00007B040000}"/>
    <cellStyle name="Moeda 2 6" xfId="363" xr:uid="{00000000-0005-0000-0000-00007C040000}"/>
    <cellStyle name="Moeda 2 6 2" xfId="660" xr:uid="{00000000-0005-0000-0000-00007D040000}"/>
    <cellStyle name="Moeda 2 7" xfId="272" xr:uid="{00000000-0005-0000-0000-00007E040000}"/>
    <cellStyle name="Moeda 2 7 2" xfId="592" xr:uid="{00000000-0005-0000-0000-00007F040000}"/>
    <cellStyle name="Moeda 2 8" xfId="835" xr:uid="{00000000-0005-0000-0000-000080040000}"/>
    <cellStyle name="Moeda 2 9" xfId="144" xr:uid="{00000000-0005-0000-0000-000081040000}"/>
    <cellStyle name="Moeda 3" xfId="150" xr:uid="{00000000-0005-0000-0000-000082040000}"/>
    <cellStyle name="Moeda 3 2" xfId="151" xr:uid="{00000000-0005-0000-0000-000083040000}"/>
    <cellStyle name="Moeda 3 2 2" xfId="370" xr:uid="{00000000-0005-0000-0000-000084040000}"/>
    <cellStyle name="Moeda 3 2 3" xfId="279" xr:uid="{00000000-0005-0000-0000-000085040000}"/>
    <cellStyle name="Moeda 3 3" xfId="369" xr:uid="{00000000-0005-0000-0000-000086040000}"/>
    <cellStyle name="Moeda 3 3 2" xfId="1021" xr:uid="{00000000-0005-0000-0000-000087040000}"/>
    <cellStyle name="Moeda 3 3 3" xfId="1461" xr:uid="{00000000-0005-0000-0000-000088040000}"/>
    <cellStyle name="Moeda 3 3 4" xfId="665" xr:uid="{00000000-0005-0000-0000-000089040000}"/>
    <cellStyle name="Moeda 3 4" xfId="278" xr:uid="{00000000-0005-0000-0000-00008A040000}"/>
    <cellStyle name="Moeda 3 4 2" xfId="947" xr:uid="{00000000-0005-0000-0000-00008B040000}"/>
    <cellStyle name="Moeda 3 4 3" xfId="1445" xr:uid="{00000000-0005-0000-0000-00008C040000}"/>
    <cellStyle name="Moeda 3 4 4" xfId="597" xr:uid="{00000000-0005-0000-0000-00008D040000}"/>
    <cellStyle name="Moeda 3 5" xfId="841" xr:uid="{00000000-0005-0000-0000-00008E040000}"/>
    <cellStyle name="Moeda 3 6" xfId="1424" xr:uid="{00000000-0005-0000-0000-00008F040000}"/>
    <cellStyle name="Moeda 3 7" xfId="526" xr:uid="{00000000-0005-0000-0000-000090040000}"/>
    <cellStyle name="Moeda 4" xfId="152" xr:uid="{00000000-0005-0000-0000-000091040000}"/>
    <cellStyle name="Moeda 4 2" xfId="371" xr:uid="{00000000-0005-0000-0000-000092040000}"/>
    <cellStyle name="Moeda 4 2 2" xfId="666" xr:uid="{00000000-0005-0000-0000-000093040000}"/>
    <cellStyle name="Moeda 4 3" xfId="280" xr:uid="{00000000-0005-0000-0000-000094040000}"/>
    <cellStyle name="Moeda 4 3 2" xfId="598" xr:uid="{00000000-0005-0000-0000-000095040000}"/>
    <cellStyle name="Moeda 4 4" xfId="842" xr:uid="{00000000-0005-0000-0000-000096040000}"/>
    <cellStyle name="Moeda 5" xfId="153" xr:uid="{00000000-0005-0000-0000-000097040000}"/>
    <cellStyle name="Moeda 5 2" xfId="372" xr:uid="{00000000-0005-0000-0000-000098040000}"/>
    <cellStyle name="Moeda 5 2 2" xfId="667" xr:uid="{00000000-0005-0000-0000-000099040000}"/>
    <cellStyle name="Moeda 5 3" xfId="281" xr:uid="{00000000-0005-0000-0000-00009A040000}"/>
    <cellStyle name="Moeda 5 3 2" xfId="599" xr:uid="{00000000-0005-0000-0000-00009B040000}"/>
    <cellStyle name="Moeda 5 4" xfId="843" xr:uid="{00000000-0005-0000-0000-00009C040000}"/>
    <cellStyle name="Moeda 6" xfId="154" xr:uid="{00000000-0005-0000-0000-00009D040000}"/>
    <cellStyle name="Moeda 6 2" xfId="373" xr:uid="{00000000-0005-0000-0000-00009E040000}"/>
    <cellStyle name="Moeda 6 3" xfId="282" xr:uid="{00000000-0005-0000-0000-00009F040000}"/>
    <cellStyle name="Moeda 7" xfId="155" xr:uid="{00000000-0005-0000-0000-0000A0040000}"/>
    <cellStyle name="Moeda 7 2" xfId="156" xr:uid="{00000000-0005-0000-0000-0000A1040000}"/>
    <cellStyle name="Moeda 7 2 2" xfId="157" xr:uid="{00000000-0005-0000-0000-0000A2040000}"/>
    <cellStyle name="Moeda 7 2 2 2" xfId="375" xr:uid="{00000000-0005-0000-0000-0000A3040000}"/>
    <cellStyle name="Moeda 7 2 2 2 2" xfId="669" xr:uid="{00000000-0005-0000-0000-0000A4040000}"/>
    <cellStyle name="Moeda 7 2 2 3" xfId="284" xr:uid="{00000000-0005-0000-0000-0000A5040000}"/>
    <cellStyle name="Moeda 7 2 2 3 2" xfId="601" xr:uid="{00000000-0005-0000-0000-0000A6040000}"/>
    <cellStyle name="Moeda 7 2 2 4" xfId="846" xr:uid="{00000000-0005-0000-0000-0000A7040000}"/>
    <cellStyle name="Moeda 7 2 3" xfId="158" xr:uid="{00000000-0005-0000-0000-0000A8040000}"/>
    <cellStyle name="Moeda 7 2 3 2" xfId="376" xr:uid="{00000000-0005-0000-0000-0000A9040000}"/>
    <cellStyle name="Moeda 7 2 3 2 2" xfId="670" xr:uid="{00000000-0005-0000-0000-0000AA040000}"/>
    <cellStyle name="Moeda 7 2 3 3" xfId="285" xr:uid="{00000000-0005-0000-0000-0000AB040000}"/>
    <cellStyle name="Moeda 7 2 3 3 2" xfId="602" xr:uid="{00000000-0005-0000-0000-0000AC040000}"/>
    <cellStyle name="Moeda 7 2 3 4" xfId="847" xr:uid="{00000000-0005-0000-0000-0000AD040000}"/>
    <cellStyle name="Moeda 7 2 4" xfId="374" xr:uid="{00000000-0005-0000-0000-0000AE040000}"/>
    <cellStyle name="Moeda 7 2 4 2" xfId="668" xr:uid="{00000000-0005-0000-0000-0000AF040000}"/>
    <cellStyle name="Moeda 7 2 5" xfId="283" xr:uid="{00000000-0005-0000-0000-0000B0040000}"/>
    <cellStyle name="Moeda 7 2 5 2" xfId="600" xr:uid="{00000000-0005-0000-0000-0000B1040000}"/>
    <cellStyle name="Moeda 7 2 6" xfId="845" xr:uid="{00000000-0005-0000-0000-0000B2040000}"/>
    <cellStyle name="Moeda 7 3" xfId="159" xr:uid="{00000000-0005-0000-0000-0000B3040000}"/>
    <cellStyle name="Moeda 7 3 2" xfId="377" xr:uid="{00000000-0005-0000-0000-0000B4040000}"/>
    <cellStyle name="Moeda 7 3 2 2" xfId="671" xr:uid="{00000000-0005-0000-0000-0000B5040000}"/>
    <cellStyle name="Moeda 7 3 3" xfId="286" xr:uid="{00000000-0005-0000-0000-0000B6040000}"/>
    <cellStyle name="Moeda 7 3 3 2" xfId="603" xr:uid="{00000000-0005-0000-0000-0000B7040000}"/>
    <cellStyle name="Moeda 7 3 4" xfId="848" xr:uid="{00000000-0005-0000-0000-0000B8040000}"/>
    <cellStyle name="Moeda 8" xfId="160" xr:uid="{00000000-0005-0000-0000-0000B9040000}"/>
    <cellStyle name="Moeda 8 2" xfId="161" xr:uid="{00000000-0005-0000-0000-0000BA040000}"/>
    <cellStyle name="Moeda 8 2 2" xfId="379" xr:uid="{00000000-0005-0000-0000-0000BB040000}"/>
    <cellStyle name="Moeda 8 2 2 2" xfId="673" xr:uid="{00000000-0005-0000-0000-0000BC040000}"/>
    <cellStyle name="Moeda 8 2 3" xfId="288" xr:uid="{00000000-0005-0000-0000-0000BD040000}"/>
    <cellStyle name="Moeda 8 2 3 2" xfId="605" xr:uid="{00000000-0005-0000-0000-0000BE040000}"/>
    <cellStyle name="Moeda 8 2 4" xfId="850" xr:uid="{00000000-0005-0000-0000-0000BF040000}"/>
    <cellStyle name="Moeda 8 3" xfId="378" xr:uid="{00000000-0005-0000-0000-0000C0040000}"/>
    <cellStyle name="Moeda 8 3 2" xfId="672" xr:uid="{00000000-0005-0000-0000-0000C1040000}"/>
    <cellStyle name="Moeda 8 4" xfId="287" xr:uid="{00000000-0005-0000-0000-0000C2040000}"/>
    <cellStyle name="Moeda 8 4 2" xfId="604" xr:uid="{00000000-0005-0000-0000-0000C3040000}"/>
    <cellStyle name="Moeda 8 5" xfId="849" xr:uid="{00000000-0005-0000-0000-0000C4040000}"/>
    <cellStyle name="Moeda 9" xfId="162" xr:uid="{00000000-0005-0000-0000-0000C5040000}"/>
    <cellStyle name="Moeda 9 2" xfId="163" xr:uid="{00000000-0005-0000-0000-0000C6040000}"/>
    <cellStyle name="Moeda 9 2 2" xfId="381" xr:uid="{00000000-0005-0000-0000-0000C7040000}"/>
    <cellStyle name="Moeda 9 2 2 2" xfId="675" xr:uid="{00000000-0005-0000-0000-0000C8040000}"/>
    <cellStyle name="Moeda 9 2 3" xfId="290" xr:uid="{00000000-0005-0000-0000-0000C9040000}"/>
    <cellStyle name="Moeda 9 2 3 2" xfId="607" xr:uid="{00000000-0005-0000-0000-0000CA040000}"/>
    <cellStyle name="Moeda 9 2 4" xfId="852" xr:uid="{00000000-0005-0000-0000-0000CB040000}"/>
    <cellStyle name="Moeda 9 3" xfId="380" xr:uid="{00000000-0005-0000-0000-0000CC040000}"/>
    <cellStyle name="Moeda 9 3 2" xfId="674" xr:uid="{00000000-0005-0000-0000-0000CD040000}"/>
    <cellStyle name="Moeda 9 4" xfId="289" xr:uid="{00000000-0005-0000-0000-0000CE040000}"/>
    <cellStyle name="Moeda 9 4 2" xfId="606" xr:uid="{00000000-0005-0000-0000-0000CF040000}"/>
    <cellStyle name="Moeda 9 5" xfId="851" xr:uid="{00000000-0005-0000-0000-0000D0040000}"/>
    <cellStyle name="Neutra 2" xfId="164" xr:uid="{00000000-0005-0000-0000-0000D1040000}"/>
    <cellStyle name="Neutra 2 2" xfId="165" xr:uid="{00000000-0005-0000-0000-0000D2040000}"/>
    <cellStyle name="Neutra 3" xfId="166" xr:uid="{00000000-0005-0000-0000-0000D3040000}"/>
    <cellStyle name="Neutra 3 2" xfId="167" xr:uid="{00000000-0005-0000-0000-0000D4040000}"/>
    <cellStyle name="Normal" xfId="0" builtinId="0"/>
    <cellStyle name="Normal 10" xfId="13" xr:uid="{00000000-0005-0000-0000-0000D6040000}"/>
    <cellStyle name="Normal 11" xfId="2974" xr:uid="{00000000-0005-0000-0000-0000D7040000}"/>
    <cellStyle name="Normal 12" xfId="2978" xr:uid="{00000000-0005-0000-0000-0000D8040000}"/>
    <cellStyle name="Normal 2" xfId="5" xr:uid="{00000000-0005-0000-0000-0000D9040000}"/>
    <cellStyle name="Normal 2 10" xfId="723" xr:uid="{00000000-0005-0000-0000-0000DA040000}"/>
    <cellStyle name="Normal 2 10 2" xfId="1088" xr:uid="{00000000-0005-0000-0000-0000DB040000}"/>
    <cellStyle name="Normal 2 10 3" xfId="1481" xr:uid="{00000000-0005-0000-0000-0000DC040000}"/>
    <cellStyle name="Normal 2 11" xfId="857" xr:uid="{00000000-0005-0000-0000-0000DD040000}"/>
    <cellStyle name="Normal 2 12" xfId="528" xr:uid="{00000000-0005-0000-0000-0000DE040000}"/>
    <cellStyle name="Normal 2 13" xfId="2965" xr:uid="{00000000-0005-0000-0000-0000DF040000}"/>
    <cellStyle name="Normal 2 14" xfId="2967" xr:uid="{00000000-0005-0000-0000-0000E0040000}"/>
    <cellStyle name="Normal 2 15" xfId="2971" xr:uid="{00000000-0005-0000-0000-0000E1040000}"/>
    <cellStyle name="Normal 2 16" xfId="2972" xr:uid="{00000000-0005-0000-0000-0000E2040000}"/>
    <cellStyle name="Normal 2 17" xfId="168" xr:uid="{00000000-0005-0000-0000-0000E3040000}"/>
    <cellStyle name="Normal 2 18" xfId="2977" xr:uid="{00000000-0005-0000-0000-0000E4040000}"/>
    <cellStyle name="Normal 2 19" xfId="2981" xr:uid="{00000000-0005-0000-0000-0000E5040000}"/>
    <cellStyle name="Normal 2 2" xfId="7" xr:uid="{00000000-0005-0000-0000-0000E6040000}"/>
    <cellStyle name="Normal 2 2 2" xfId="254" xr:uid="{00000000-0005-0000-0000-0000E7040000}"/>
    <cellStyle name="Normal 2 2 3" xfId="169" xr:uid="{00000000-0005-0000-0000-0000E8040000}"/>
    <cellStyle name="Normal 2 3" xfId="255" xr:uid="{00000000-0005-0000-0000-0000E9040000}"/>
    <cellStyle name="Normal 2 3 2" xfId="434" xr:uid="{00000000-0005-0000-0000-0000EA040000}"/>
    <cellStyle name="Normal 2 3 2 2" xfId="1070" xr:uid="{00000000-0005-0000-0000-0000EB040000}"/>
    <cellStyle name="Normal 2 3 2 3" xfId="1471" xr:uid="{00000000-0005-0000-0000-0000EC040000}"/>
    <cellStyle name="Normal 2 3 2 4" xfId="708" xr:uid="{00000000-0005-0000-0000-0000ED040000}"/>
    <cellStyle name="Normal 2 3 3" xfId="347" xr:uid="{00000000-0005-0000-0000-0000EE040000}"/>
    <cellStyle name="Normal 2 3 3 2" xfId="1002" xr:uid="{00000000-0005-0000-0000-0000EF040000}"/>
    <cellStyle name="Normal 2 3 3 3" xfId="1457" xr:uid="{00000000-0005-0000-0000-0000F0040000}"/>
    <cellStyle name="Normal 2 3 3 4" xfId="644" xr:uid="{00000000-0005-0000-0000-0000F1040000}"/>
    <cellStyle name="Normal 2 3 4" xfId="724" xr:uid="{00000000-0005-0000-0000-0000F2040000}"/>
    <cellStyle name="Normal 2 3 4 2" xfId="1402" xr:uid="{00000000-0005-0000-0000-0000F3040000}"/>
    <cellStyle name="Normal 2 3 5" xfId="931" xr:uid="{00000000-0005-0000-0000-0000F4040000}"/>
    <cellStyle name="Normal 2 3 6" xfId="576" xr:uid="{00000000-0005-0000-0000-0000F5040000}"/>
    <cellStyle name="Normal 2 4" xfId="437" xr:uid="{00000000-0005-0000-0000-0000F6040000}"/>
    <cellStyle name="Normal 2 4 2" xfId="726" xr:uid="{00000000-0005-0000-0000-0000F7040000}"/>
    <cellStyle name="Normal 2 4 3" xfId="1073" xr:uid="{00000000-0005-0000-0000-0000F8040000}"/>
    <cellStyle name="Normal 2 4 4" xfId="1472" xr:uid="{00000000-0005-0000-0000-0000F9040000}"/>
    <cellStyle name="Normal 2 4 5" xfId="710" xr:uid="{00000000-0005-0000-0000-0000FA040000}"/>
    <cellStyle name="Normal 2 5" xfId="441" xr:uid="{00000000-0005-0000-0000-0000FB040000}"/>
    <cellStyle name="Normal 2 5 2" xfId="1077" xr:uid="{00000000-0005-0000-0000-0000FC040000}"/>
    <cellStyle name="Normal 2 5 3" xfId="1473" xr:uid="{00000000-0005-0000-0000-0000FD040000}"/>
    <cellStyle name="Normal 2 5 4" xfId="712" xr:uid="{00000000-0005-0000-0000-0000FE040000}"/>
    <cellStyle name="Normal 2 6" xfId="444" xr:uid="{00000000-0005-0000-0000-0000FF040000}"/>
    <cellStyle name="Normal 2 6 2" xfId="1080" xr:uid="{00000000-0005-0000-0000-000000050000}"/>
    <cellStyle name="Normal 2 6 3" xfId="1476" xr:uid="{00000000-0005-0000-0000-000001050000}"/>
    <cellStyle name="Normal 2 6 4" xfId="715" xr:uid="{00000000-0005-0000-0000-000002050000}"/>
    <cellStyle name="Normal 2 7" xfId="382" xr:uid="{00000000-0005-0000-0000-000003050000}"/>
    <cellStyle name="Normal 2 7 2" xfId="1030" xr:uid="{00000000-0005-0000-0000-000004050000}"/>
    <cellStyle name="Normal 2 7 3" xfId="1462" xr:uid="{00000000-0005-0000-0000-000005050000}"/>
    <cellStyle name="Normal 2 7 4" xfId="676" xr:uid="{00000000-0005-0000-0000-000006050000}"/>
    <cellStyle name="Normal 2 8" xfId="291" xr:uid="{00000000-0005-0000-0000-000007050000}"/>
    <cellStyle name="Normal 2 8 2" xfId="959" xr:uid="{00000000-0005-0000-0000-000008050000}"/>
    <cellStyle name="Normal 2 8 3" xfId="1446" xr:uid="{00000000-0005-0000-0000-000009050000}"/>
    <cellStyle name="Normal 2 8 4" xfId="608" xr:uid="{00000000-0005-0000-0000-00000A050000}"/>
    <cellStyle name="Normal 2 9" xfId="720" xr:uid="{00000000-0005-0000-0000-00000B050000}"/>
    <cellStyle name="Normal 2 9 2" xfId="1085" xr:uid="{00000000-0005-0000-0000-00000C050000}"/>
    <cellStyle name="Normal 2 9 3" xfId="1478" xr:uid="{00000000-0005-0000-0000-00000D050000}"/>
    <cellStyle name="Normal 3" xfId="4" xr:uid="{00000000-0005-0000-0000-00000E050000}"/>
    <cellStyle name="Normal 3 2" xfId="11" xr:uid="{00000000-0005-0000-0000-00000F050000}"/>
    <cellStyle name="Normal 3 2 2" xfId="171" xr:uid="{00000000-0005-0000-0000-000010050000}"/>
    <cellStyle name="Normal 3 2 2 2" xfId="385" xr:uid="{00000000-0005-0000-0000-000011050000}"/>
    <cellStyle name="Normal 3 2 2 3" xfId="294" xr:uid="{00000000-0005-0000-0000-000012050000}"/>
    <cellStyle name="Normal 3 2 3" xfId="172" xr:uid="{00000000-0005-0000-0000-000013050000}"/>
    <cellStyle name="Normal 3 2 3 2" xfId="386" xr:uid="{00000000-0005-0000-0000-000014050000}"/>
    <cellStyle name="Normal 3 2 3 3" xfId="295" xr:uid="{00000000-0005-0000-0000-000015050000}"/>
    <cellStyle name="Normal 3 2 4" xfId="384" xr:uid="{00000000-0005-0000-0000-000016050000}"/>
    <cellStyle name="Normal 3 2 5" xfId="293" xr:uid="{00000000-0005-0000-0000-000017050000}"/>
    <cellStyle name="Normal 3 2 6" xfId="170" xr:uid="{00000000-0005-0000-0000-000018050000}"/>
    <cellStyle name="Normal 3 3" xfId="436" xr:uid="{00000000-0005-0000-0000-000019050000}"/>
    <cellStyle name="Normal 3 4" xfId="383" xr:uid="{00000000-0005-0000-0000-00001A050000}"/>
    <cellStyle name="Normal 3 5" xfId="292" xr:uid="{00000000-0005-0000-0000-00001B050000}"/>
    <cellStyle name="Normal 4" xfId="173" xr:uid="{00000000-0005-0000-0000-00001C050000}"/>
    <cellStyle name="Normal 4 2" xfId="387" xr:uid="{00000000-0005-0000-0000-00001D050000}"/>
    <cellStyle name="Normal 4 3" xfId="296" xr:uid="{00000000-0005-0000-0000-00001E050000}"/>
    <cellStyle name="Normal 5" xfId="10" xr:uid="{00000000-0005-0000-0000-00001F050000}"/>
    <cellStyle name="Normal 5 2" xfId="440" xr:uid="{00000000-0005-0000-0000-000020050000}"/>
    <cellStyle name="Normal 5 3" xfId="388" xr:uid="{00000000-0005-0000-0000-000021050000}"/>
    <cellStyle name="Normal 5 4" xfId="297" xr:uid="{00000000-0005-0000-0000-000022050000}"/>
    <cellStyle name="Normal 5 5" xfId="174" xr:uid="{00000000-0005-0000-0000-000023050000}"/>
    <cellStyle name="Normal 6" xfId="721" xr:uid="{00000000-0005-0000-0000-000024050000}"/>
    <cellStyle name="Normal 6 2" xfId="175" xr:uid="{00000000-0005-0000-0000-000025050000}"/>
    <cellStyle name="Normal 6 2 2" xfId="389" xr:uid="{00000000-0005-0000-0000-000026050000}"/>
    <cellStyle name="Normal 6 2 3" xfId="298" xr:uid="{00000000-0005-0000-0000-000027050000}"/>
    <cellStyle name="Normal 6 3" xfId="176" xr:uid="{00000000-0005-0000-0000-000028050000}"/>
    <cellStyle name="Normal 6 3 2" xfId="390" xr:uid="{00000000-0005-0000-0000-000029050000}"/>
    <cellStyle name="Normal 6 3 3" xfId="299" xr:uid="{00000000-0005-0000-0000-00002A050000}"/>
    <cellStyle name="Normal 6 4" xfId="1086" xr:uid="{00000000-0005-0000-0000-00002B050000}"/>
    <cellStyle name="Normal 6 5" xfId="1479" xr:uid="{00000000-0005-0000-0000-00002C050000}"/>
    <cellStyle name="Normal 7" xfId="9" xr:uid="{00000000-0005-0000-0000-00002D050000}"/>
    <cellStyle name="Normal 7 2" xfId="391" xr:uid="{00000000-0005-0000-0000-00002E050000}"/>
    <cellStyle name="Normal 7 3" xfId="300" xr:uid="{00000000-0005-0000-0000-00002F050000}"/>
    <cellStyle name="Normal 7 4" xfId="177" xr:uid="{00000000-0005-0000-0000-000030050000}"/>
    <cellStyle name="Normal 8" xfId="178" xr:uid="{00000000-0005-0000-0000-000031050000}"/>
    <cellStyle name="Normal 8 2" xfId="179" xr:uid="{00000000-0005-0000-0000-000032050000}"/>
    <cellStyle name="Normal 8 2 2" xfId="439" xr:uid="{00000000-0005-0000-0000-000033050000}"/>
    <cellStyle name="Normal 8 2 3" xfId="393" xr:uid="{00000000-0005-0000-0000-000034050000}"/>
    <cellStyle name="Normal 8 2 4" xfId="302" xr:uid="{00000000-0005-0000-0000-000035050000}"/>
    <cellStyle name="Normal 8 3" xfId="180" xr:uid="{00000000-0005-0000-0000-000036050000}"/>
    <cellStyle name="Normal 8 3 2" xfId="394" xr:uid="{00000000-0005-0000-0000-000037050000}"/>
    <cellStyle name="Normal 8 3 3" xfId="303" xr:uid="{00000000-0005-0000-0000-000038050000}"/>
    <cellStyle name="Normal 8 4" xfId="392" xr:uid="{00000000-0005-0000-0000-000039050000}"/>
    <cellStyle name="Normal 8 5" xfId="301" xr:uid="{00000000-0005-0000-0000-00003A050000}"/>
    <cellStyle name="Normal 9" xfId="2973" xr:uid="{00000000-0005-0000-0000-00003B050000}"/>
    <cellStyle name="Nota 2" xfId="181" xr:uid="{00000000-0005-0000-0000-00003C050000}"/>
    <cellStyle name="Nota 2 2" xfId="182" xr:uid="{00000000-0005-0000-0000-00003D050000}"/>
    <cellStyle name="Nota 2 2 2" xfId="305" xr:uid="{00000000-0005-0000-0000-00003E050000}"/>
    <cellStyle name="Nota 2 2 2 10" xfId="1039" xr:uid="{00000000-0005-0000-0000-00003F050000}"/>
    <cellStyle name="Nota 2 2 2 10 2" xfId="1836" xr:uid="{00000000-0005-0000-0000-000040050000}"/>
    <cellStyle name="Nota 2 2 2 11" xfId="817" xr:uid="{00000000-0005-0000-0000-000041050000}"/>
    <cellStyle name="Nota 2 2 2 11 2" xfId="1641" xr:uid="{00000000-0005-0000-0000-000042050000}"/>
    <cellStyle name="Nota 2 2 2 12" xfId="995" xr:uid="{00000000-0005-0000-0000-000043050000}"/>
    <cellStyle name="Nota 2 2 2 12 2" xfId="1793" xr:uid="{00000000-0005-0000-0000-000044050000}"/>
    <cellStyle name="Nota 2 2 2 13" xfId="762" xr:uid="{00000000-0005-0000-0000-000045050000}"/>
    <cellStyle name="Nota 2 2 2 13 2" xfId="1586" xr:uid="{00000000-0005-0000-0000-000046050000}"/>
    <cellStyle name="Nota 2 2 2 14" xfId="1258" xr:uid="{00000000-0005-0000-0000-000047050000}"/>
    <cellStyle name="Nota 2 2 2 14 2" xfId="2046" xr:uid="{00000000-0005-0000-0000-000048050000}"/>
    <cellStyle name="Nota 2 2 2 15" xfId="1023" xr:uid="{00000000-0005-0000-0000-000049050000}"/>
    <cellStyle name="Nota 2 2 2 15 2" xfId="1821" xr:uid="{00000000-0005-0000-0000-00004A050000}"/>
    <cellStyle name="Nota 2 2 2 16" xfId="1022" xr:uid="{00000000-0005-0000-0000-00004B050000}"/>
    <cellStyle name="Nota 2 2 2 16 2" xfId="1820" xr:uid="{00000000-0005-0000-0000-00004C050000}"/>
    <cellStyle name="Nota 2 2 2 17" xfId="1265" xr:uid="{00000000-0005-0000-0000-00004D050000}"/>
    <cellStyle name="Nota 2 2 2 17 2" xfId="2053" xr:uid="{00000000-0005-0000-0000-00004E050000}"/>
    <cellStyle name="Nota 2 2 2 18" xfId="1038" xr:uid="{00000000-0005-0000-0000-00004F050000}"/>
    <cellStyle name="Nota 2 2 2 18 2" xfId="1835" xr:uid="{00000000-0005-0000-0000-000050050000}"/>
    <cellStyle name="Nota 2 2 2 19" xfId="1322" xr:uid="{00000000-0005-0000-0000-000051050000}"/>
    <cellStyle name="Nota 2 2 2 19 2" xfId="2110" xr:uid="{00000000-0005-0000-0000-000052050000}"/>
    <cellStyle name="Nota 2 2 2 2" xfId="969" xr:uid="{00000000-0005-0000-0000-000053050000}"/>
    <cellStyle name="Nota 2 2 2 2 2" xfId="1767" xr:uid="{00000000-0005-0000-0000-000054050000}"/>
    <cellStyle name="Nota 2 2 2 20" xfId="1412" xr:uid="{00000000-0005-0000-0000-000055050000}"/>
    <cellStyle name="Nota 2 2 2 21" xfId="610" xr:uid="{00000000-0005-0000-0000-000056050000}"/>
    <cellStyle name="Nota 2 2 2 22" xfId="455" xr:uid="{00000000-0005-0000-0000-000057050000}"/>
    <cellStyle name="Nota 2 2 2 23" xfId="458" xr:uid="{00000000-0005-0000-0000-000058050000}"/>
    <cellStyle name="Nota 2 2 2 24" xfId="473" xr:uid="{00000000-0005-0000-0000-000059050000}"/>
    <cellStyle name="Nota 2 2 2 3" xfId="777" xr:uid="{00000000-0005-0000-0000-00005A050000}"/>
    <cellStyle name="Nota 2 2 2 3 2" xfId="1601" xr:uid="{00000000-0005-0000-0000-00005B050000}"/>
    <cellStyle name="Nota 2 2 2 4" xfId="932" xr:uid="{00000000-0005-0000-0000-00005C050000}"/>
    <cellStyle name="Nota 2 2 2 4 2" xfId="1733" xr:uid="{00000000-0005-0000-0000-00005D050000}"/>
    <cellStyle name="Nota 2 2 2 5" xfId="770" xr:uid="{00000000-0005-0000-0000-00005E050000}"/>
    <cellStyle name="Nota 2 2 2 5 2" xfId="1594" xr:uid="{00000000-0005-0000-0000-00005F050000}"/>
    <cellStyle name="Nota 2 2 2 6" xfId="916" xr:uid="{00000000-0005-0000-0000-000060050000}"/>
    <cellStyle name="Nota 2 2 2 6 2" xfId="1719" xr:uid="{00000000-0005-0000-0000-000061050000}"/>
    <cellStyle name="Nota 2 2 2 7" xfId="741" xr:uid="{00000000-0005-0000-0000-000062050000}"/>
    <cellStyle name="Nota 2 2 2 7 2" xfId="1565" xr:uid="{00000000-0005-0000-0000-000063050000}"/>
    <cellStyle name="Nota 2 2 2 8" xfId="1111" xr:uid="{00000000-0005-0000-0000-000064050000}"/>
    <cellStyle name="Nota 2 2 2 8 2" xfId="1899" xr:uid="{00000000-0005-0000-0000-000065050000}"/>
    <cellStyle name="Nota 2 2 2 9" xfId="785" xr:uid="{00000000-0005-0000-0000-000066050000}"/>
    <cellStyle name="Nota 2 2 2 9 2" xfId="1609" xr:uid="{00000000-0005-0000-0000-000067050000}"/>
    <cellStyle name="Nota 2 2 3" xfId="1482" xr:uid="{00000000-0005-0000-0000-000068050000}"/>
    <cellStyle name="Nota 2 3" xfId="304" xr:uid="{00000000-0005-0000-0000-000069050000}"/>
    <cellStyle name="Nota 2 3 10" xfId="1203" xr:uid="{00000000-0005-0000-0000-00006A050000}"/>
    <cellStyle name="Nota 2 3 10 2" xfId="1991" xr:uid="{00000000-0005-0000-0000-00006B050000}"/>
    <cellStyle name="Nota 2 3 11" xfId="1282" xr:uid="{00000000-0005-0000-0000-00006C050000}"/>
    <cellStyle name="Nota 2 3 11 2" xfId="2070" xr:uid="{00000000-0005-0000-0000-00006D050000}"/>
    <cellStyle name="Nota 2 3 12" xfId="1283" xr:uid="{00000000-0005-0000-0000-00006E050000}"/>
    <cellStyle name="Nota 2 3 12 2" xfId="2071" xr:uid="{00000000-0005-0000-0000-00006F050000}"/>
    <cellStyle name="Nota 2 3 13" xfId="1219" xr:uid="{00000000-0005-0000-0000-000070050000}"/>
    <cellStyle name="Nota 2 3 13 2" xfId="2007" xr:uid="{00000000-0005-0000-0000-000071050000}"/>
    <cellStyle name="Nota 2 3 14" xfId="1192" xr:uid="{00000000-0005-0000-0000-000072050000}"/>
    <cellStyle name="Nota 2 3 14 2" xfId="1980" xr:uid="{00000000-0005-0000-0000-000073050000}"/>
    <cellStyle name="Nota 2 3 15" xfId="882" xr:uid="{00000000-0005-0000-0000-000074050000}"/>
    <cellStyle name="Nota 2 3 15 2" xfId="1687" xr:uid="{00000000-0005-0000-0000-000075050000}"/>
    <cellStyle name="Nota 2 3 16" xfId="1049" xr:uid="{00000000-0005-0000-0000-000076050000}"/>
    <cellStyle name="Nota 2 3 16 2" xfId="1845" xr:uid="{00000000-0005-0000-0000-000077050000}"/>
    <cellStyle name="Nota 2 3 17" xfId="1382" xr:uid="{00000000-0005-0000-0000-000078050000}"/>
    <cellStyle name="Nota 2 3 17 2" xfId="2170" xr:uid="{00000000-0005-0000-0000-000079050000}"/>
    <cellStyle name="Nota 2 3 18" xfId="854" xr:uid="{00000000-0005-0000-0000-00007A050000}"/>
    <cellStyle name="Nota 2 3 18 2" xfId="1661" xr:uid="{00000000-0005-0000-0000-00007B050000}"/>
    <cellStyle name="Nota 2 3 19" xfId="941" xr:uid="{00000000-0005-0000-0000-00007C050000}"/>
    <cellStyle name="Nota 2 3 19 2" xfId="1742" xr:uid="{00000000-0005-0000-0000-00007D050000}"/>
    <cellStyle name="Nota 2 3 2" xfId="968" xr:uid="{00000000-0005-0000-0000-00007E050000}"/>
    <cellStyle name="Nota 2 3 2 2" xfId="1766" xr:uid="{00000000-0005-0000-0000-00007F050000}"/>
    <cellStyle name="Nota 2 3 20" xfId="1443" xr:uid="{00000000-0005-0000-0000-000080050000}"/>
    <cellStyle name="Nota 2 3 21" xfId="609" xr:uid="{00000000-0005-0000-0000-000081050000}"/>
    <cellStyle name="Nota 2 3 22" xfId="456" xr:uid="{00000000-0005-0000-0000-000082050000}"/>
    <cellStyle name="Nota 2 3 23" xfId="1659" xr:uid="{00000000-0005-0000-0000-000083050000}"/>
    <cellStyle name="Nota 2 3 24" xfId="530" xr:uid="{00000000-0005-0000-0000-000084050000}"/>
    <cellStyle name="Nota 2 3 3" xfId="778" xr:uid="{00000000-0005-0000-0000-000085050000}"/>
    <cellStyle name="Nota 2 3 3 2" xfId="1602" xr:uid="{00000000-0005-0000-0000-000086050000}"/>
    <cellStyle name="Nota 2 3 4" xfId="872" xr:uid="{00000000-0005-0000-0000-000087050000}"/>
    <cellStyle name="Nota 2 3 4 2" xfId="1678" xr:uid="{00000000-0005-0000-0000-000088050000}"/>
    <cellStyle name="Nota 2 3 5" xfId="1116" xr:uid="{00000000-0005-0000-0000-000089050000}"/>
    <cellStyle name="Nota 2 3 5 2" xfId="1904" xr:uid="{00000000-0005-0000-0000-00008A050000}"/>
    <cellStyle name="Nota 2 3 6" xfId="1019" xr:uid="{00000000-0005-0000-0000-00008B050000}"/>
    <cellStyle name="Nota 2 3 6 2" xfId="1817" xr:uid="{00000000-0005-0000-0000-00008C050000}"/>
    <cellStyle name="Nota 2 3 7" xfId="1169" xr:uid="{00000000-0005-0000-0000-00008D050000}"/>
    <cellStyle name="Nota 2 3 7 2" xfId="1957" xr:uid="{00000000-0005-0000-0000-00008E050000}"/>
    <cellStyle name="Nota 2 3 8" xfId="1214" xr:uid="{00000000-0005-0000-0000-00008F050000}"/>
    <cellStyle name="Nota 2 3 8 2" xfId="2002" xr:uid="{00000000-0005-0000-0000-000090050000}"/>
    <cellStyle name="Nota 2 3 9" xfId="1213" xr:uid="{00000000-0005-0000-0000-000091050000}"/>
    <cellStyle name="Nota 2 3 9 2" xfId="2001" xr:uid="{00000000-0005-0000-0000-000092050000}"/>
    <cellStyle name="Nota 2 4" xfId="1406" xr:uid="{00000000-0005-0000-0000-000093050000}"/>
    <cellStyle name="Nota 3" xfId="183" xr:uid="{00000000-0005-0000-0000-000094050000}"/>
    <cellStyle name="Nota 3 2" xfId="184" xr:uid="{00000000-0005-0000-0000-000095050000}"/>
    <cellStyle name="Nota 3 2 2" xfId="307" xr:uid="{00000000-0005-0000-0000-000096050000}"/>
    <cellStyle name="Nota 3 2 2 10" xfId="763" xr:uid="{00000000-0005-0000-0000-000097050000}"/>
    <cellStyle name="Nota 3 2 2 10 2" xfId="1587" xr:uid="{00000000-0005-0000-0000-000098050000}"/>
    <cellStyle name="Nota 3 2 2 11" xfId="966" xr:uid="{00000000-0005-0000-0000-000099050000}"/>
    <cellStyle name="Nota 3 2 2 11 2" xfId="1764" xr:uid="{00000000-0005-0000-0000-00009A050000}"/>
    <cellStyle name="Nota 3 2 2 12" xfId="1260" xr:uid="{00000000-0005-0000-0000-00009B050000}"/>
    <cellStyle name="Nota 3 2 2 12 2" xfId="2048" xr:uid="{00000000-0005-0000-0000-00009C050000}"/>
    <cellStyle name="Nota 3 2 2 13" xfId="1303" xr:uid="{00000000-0005-0000-0000-00009D050000}"/>
    <cellStyle name="Nota 3 2 2 13 2" xfId="2091" xr:uid="{00000000-0005-0000-0000-00009E050000}"/>
    <cellStyle name="Nota 3 2 2 14" xfId="980" xr:uid="{00000000-0005-0000-0000-00009F050000}"/>
    <cellStyle name="Nota 3 2 2 14 2" xfId="1778" xr:uid="{00000000-0005-0000-0000-0000A0050000}"/>
    <cellStyle name="Nota 3 2 2 15" xfId="1194" xr:uid="{00000000-0005-0000-0000-0000A1050000}"/>
    <cellStyle name="Nota 3 2 2 15 2" xfId="1982" xr:uid="{00000000-0005-0000-0000-0000A2050000}"/>
    <cellStyle name="Nota 3 2 2 16" xfId="1083" xr:uid="{00000000-0005-0000-0000-0000A3050000}"/>
    <cellStyle name="Nota 3 2 2 16 2" xfId="1875" xr:uid="{00000000-0005-0000-0000-0000A4050000}"/>
    <cellStyle name="Nota 3 2 2 17" xfId="1094" xr:uid="{00000000-0005-0000-0000-0000A5050000}"/>
    <cellStyle name="Nota 3 2 2 17 2" xfId="1882" xr:uid="{00000000-0005-0000-0000-0000A6050000}"/>
    <cellStyle name="Nota 3 2 2 18" xfId="1319" xr:uid="{00000000-0005-0000-0000-0000A7050000}"/>
    <cellStyle name="Nota 3 2 2 18 2" xfId="2107" xr:uid="{00000000-0005-0000-0000-0000A8050000}"/>
    <cellStyle name="Nota 3 2 2 19" xfId="912" xr:uid="{00000000-0005-0000-0000-0000A9050000}"/>
    <cellStyle name="Nota 3 2 2 19 2" xfId="1715" xr:uid="{00000000-0005-0000-0000-0000AA050000}"/>
    <cellStyle name="Nota 3 2 2 2" xfId="971" xr:uid="{00000000-0005-0000-0000-0000AB050000}"/>
    <cellStyle name="Nota 3 2 2 2 2" xfId="1769" xr:uid="{00000000-0005-0000-0000-0000AC050000}"/>
    <cellStyle name="Nota 3 2 2 20" xfId="1450" xr:uid="{00000000-0005-0000-0000-0000AD050000}"/>
    <cellStyle name="Nota 3 2 2 21" xfId="612" xr:uid="{00000000-0005-0000-0000-0000AE050000}"/>
    <cellStyle name="Nota 3 2 2 22" xfId="453" xr:uid="{00000000-0005-0000-0000-0000AF050000}"/>
    <cellStyle name="Nota 3 2 2 23" xfId="677" xr:uid="{00000000-0005-0000-0000-0000B0050000}"/>
    <cellStyle name="Nota 3 2 2 24" xfId="1546" xr:uid="{00000000-0005-0000-0000-0000B1050000}"/>
    <cellStyle name="Nota 3 2 2 3" xfId="775" xr:uid="{00000000-0005-0000-0000-0000B2050000}"/>
    <cellStyle name="Nota 3 2 2 3 2" xfId="1599" xr:uid="{00000000-0005-0000-0000-0000B3050000}"/>
    <cellStyle name="Nota 3 2 2 4" xfId="875" xr:uid="{00000000-0005-0000-0000-0000B4050000}"/>
    <cellStyle name="Nota 3 2 2 4 2" xfId="1680" xr:uid="{00000000-0005-0000-0000-0000B5050000}"/>
    <cellStyle name="Nota 3 2 2 5" xfId="954" xr:uid="{00000000-0005-0000-0000-0000B6050000}"/>
    <cellStyle name="Nota 3 2 2 5 2" xfId="1753" xr:uid="{00000000-0005-0000-0000-0000B7050000}"/>
    <cellStyle name="Nota 3 2 2 6" xfId="1106" xr:uid="{00000000-0005-0000-0000-0000B8050000}"/>
    <cellStyle name="Nota 3 2 2 6 2" xfId="1894" xr:uid="{00000000-0005-0000-0000-0000B9050000}"/>
    <cellStyle name="Nota 3 2 2 7" xfId="1140" xr:uid="{00000000-0005-0000-0000-0000BA050000}"/>
    <cellStyle name="Nota 3 2 2 7 2" xfId="1928" xr:uid="{00000000-0005-0000-0000-0000BB050000}"/>
    <cellStyle name="Nota 3 2 2 8" xfId="1129" xr:uid="{00000000-0005-0000-0000-0000BC050000}"/>
    <cellStyle name="Nota 3 2 2 8 2" xfId="1917" xr:uid="{00000000-0005-0000-0000-0000BD050000}"/>
    <cellStyle name="Nota 3 2 2 9" xfId="1050" xr:uid="{00000000-0005-0000-0000-0000BE050000}"/>
    <cellStyle name="Nota 3 2 2 9 2" xfId="1846" xr:uid="{00000000-0005-0000-0000-0000BF050000}"/>
    <cellStyle name="Nota 3 2 3" xfId="1447" xr:uid="{00000000-0005-0000-0000-0000C0050000}"/>
    <cellStyle name="Nota 3 3" xfId="306" xr:uid="{00000000-0005-0000-0000-0000C1050000}"/>
    <cellStyle name="Nota 3 3 10" xfId="788" xr:uid="{00000000-0005-0000-0000-0000C2050000}"/>
    <cellStyle name="Nota 3 3 10 2" xfId="1612" xr:uid="{00000000-0005-0000-0000-0000C3050000}"/>
    <cellStyle name="Nota 3 3 11" xfId="879" xr:uid="{00000000-0005-0000-0000-0000C4050000}"/>
    <cellStyle name="Nota 3 3 11 2" xfId="1684" xr:uid="{00000000-0005-0000-0000-0000C5050000}"/>
    <cellStyle name="Nota 3 3 12" xfId="798" xr:uid="{00000000-0005-0000-0000-0000C6050000}"/>
    <cellStyle name="Nota 3 3 12 2" xfId="1622" xr:uid="{00000000-0005-0000-0000-0000C7050000}"/>
    <cellStyle name="Nota 3 3 13" xfId="1153" xr:uid="{00000000-0005-0000-0000-0000C8050000}"/>
    <cellStyle name="Nota 3 3 13 2" xfId="1941" xr:uid="{00000000-0005-0000-0000-0000C9050000}"/>
    <cellStyle name="Nota 3 3 14" xfId="1209" xr:uid="{00000000-0005-0000-0000-0000CA050000}"/>
    <cellStyle name="Nota 3 3 14 2" xfId="1997" xr:uid="{00000000-0005-0000-0000-0000CB050000}"/>
    <cellStyle name="Nota 3 3 15" xfId="1215" xr:uid="{00000000-0005-0000-0000-0000CC050000}"/>
    <cellStyle name="Nota 3 3 15 2" xfId="2003" xr:uid="{00000000-0005-0000-0000-0000CD050000}"/>
    <cellStyle name="Nota 3 3 16" xfId="1128" xr:uid="{00000000-0005-0000-0000-0000CE050000}"/>
    <cellStyle name="Nota 3 3 16 2" xfId="1916" xr:uid="{00000000-0005-0000-0000-0000CF050000}"/>
    <cellStyle name="Nota 3 3 17" xfId="1102" xr:uid="{00000000-0005-0000-0000-0000D0050000}"/>
    <cellStyle name="Nota 3 3 17 2" xfId="1890" xr:uid="{00000000-0005-0000-0000-0000D1050000}"/>
    <cellStyle name="Nota 3 3 18" xfId="1058" xr:uid="{00000000-0005-0000-0000-0000D2050000}"/>
    <cellStyle name="Nota 3 3 18 2" xfId="1854" xr:uid="{00000000-0005-0000-0000-0000D3050000}"/>
    <cellStyle name="Nota 3 3 19" xfId="1380" xr:uid="{00000000-0005-0000-0000-0000D4050000}"/>
    <cellStyle name="Nota 3 3 19 2" xfId="2168" xr:uid="{00000000-0005-0000-0000-0000D5050000}"/>
    <cellStyle name="Nota 3 3 2" xfId="970" xr:uid="{00000000-0005-0000-0000-0000D6050000}"/>
    <cellStyle name="Nota 3 3 2 2" xfId="1768" xr:uid="{00000000-0005-0000-0000-0000D7050000}"/>
    <cellStyle name="Nota 3 3 20" xfId="1465" xr:uid="{00000000-0005-0000-0000-0000D8050000}"/>
    <cellStyle name="Nota 3 3 21" xfId="611" xr:uid="{00000000-0005-0000-0000-0000D9050000}"/>
    <cellStyle name="Nota 3 3 22" xfId="454" xr:uid="{00000000-0005-0000-0000-0000DA050000}"/>
    <cellStyle name="Nota 3 3 23" xfId="1518" xr:uid="{00000000-0005-0000-0000-0000DB050000}"/>
    <cellStyle name="Nota 3 3 24" xfId="524" xr:uid="{00000000-0005-0000-0000-0000DC050000}"/>
    <cellStyle name="Nota 3 3 3" xfId="776" xr:uid="{00000000-0005-0000-0000-0000DD050000}"/>
    <cellStyle name="Nota 3 3 3 2" xfId="1600" xr:uid="{00000000-0005-0000-0000-0000DE050000}"/>
    <cellStyle name="Nota 3 3 4" xfId="874" xr:uid="{00000000-0005-0000-0000-0000DF050000}"/>
    <cellStyle name="Nota 3 3 4 2" xfId="1679" xr:uid="{00000000-0005-0000-0000-0000E0050000}"/>
    <cellStyle name="Nota 3 3 5" xfId="1025" xr:uid="{00000000-0005-0000-0000-0000E1050000}"/>
    <cellStyle name="Nota 3 3 5 2" xfId="1823" xr:uid="{00000000-0005-0000-0000-0000E2050000}"/>
    <cellStyle name="Nota 3 3 6" xfId="1042" xr:uid="{00000000-0005-0000-0000-0000E3050000}"/>
    <cellStyle name="Nota 3 3 6 2" xfId="1838" xr:uid="{00000000-0005-0000-0000-0000E4050000}"/>
    <cellStyle name="Nota 3 3 7" xfId="765" xr:uid="{00000000-0005-0000-0000-0000E5050000}"/>
    <cellStyle name="Nota 3 3 7 2" xfId="1589" xr:uid="{00000000-0005-0000-0000-0000E6050000}"/>
    <cellStyle name="Nota 3 3 8" xfId="922" xr:uid="{00000000-0005-0000-0000-0000E7050000}"/>
    <cellStyle name="Nota 3 3 8 2" xfId="1725" xr:uid="{00000000-0005-0000-0000-0000E8050000}"/>
    <cellStyle name="Nota 3 3 9" xfId="1220" xr:uid="{00000000-0005-0000-0000-0000E9050000}"/>
    <cellStyle name="Nota 3 3 9 2" xfId="2008" xr:uid="{00000000-0005-0000-0000-0000EA050000}"/>
    <cellStyle name="Nota 3 4" xfId="1463" xr:uid="{00000000-0005-0000-0000-0000EB050000}"/>
    <cellStyle name="Porcentagem" xfId="2" builtinId="5"/>
    <cellStyle name="Porcentagem 10 2" xfId="185" xr:uid="{00000000-0005-0000-0000-0000ED050000}"/>
    <cellStyle name="Porcentagem 10 2 2" xfId="445" xr:uid="{00000000-0005-0000-0000-0000EE050000}"/>
    <cellStyle name="Porcentagem 10 2 3" xfId="395" xr:uid="{00000000-0005-0000-0000-0000EF050000}"/>
    <cellStyle name="Porcentagem 10 2 4" xfId="308" xr:uid="{00000000-0005-0000-0000-0000F0050000}"/>
    <cellStyle name="Porcentagem 10 3" xfId="186" xr:uid="{00000000-0005-0000-0000-0000F1050000}"/>
    <cellStyle name="Porcentagem 10 3 2" xfId="396" xr:uid="{00000000-0005-0000-0000-0000F2050000}"/>
    <cellStyle name="Porcentagem 10 3 3" xfId="309" xr:uid="{00000000-0005-0000-0000-0000F3050000}"/>
    <cellStyle name="Porcentagem 11" xfId="187" xr:uid="{00000000-0005-0000-0000-0000F4050000}"/>
    <cellStyle name="Porcentagem 11 2" xfId="397" xr:uid="{00000000-0005-0000-0000-0000F5050000}"/>
    <cellStyle name="Porcentagem 11 3" xfId="310" xr:uid="{00000000-0005-0000-0000-0000F6050000}"/>
    <cellStyle name="Porcentagem 12" xfId="188" xr:uid="{00000000-0005-0000-0000-0000F7050000}"/>
    <cellStyle name="Porcentagem 12 2" xfId="257" xr:uid="{00000000-0005-0000-0000-0000F8050000}"/>
    <cellStyle name="Porcentagem 13" xfId="189" xr:uid="{00000000-0005-0000-0000-0000F9050000}"/>
    <cellStyle name="Porcentagem 13 2" xfId="443" xr:uid="{00000000-0005-0000-0000-0000FA050000}"/>
    <cellStyle name="Porcentagem 13 2 2" xfId="1079" xr:uid="{00000000-0005-0000-0000-0000FB050000}"/>
    <cellStyle name="Porcentagem 13 2 3" xfId="1475" xr:uid="{00000000-0005-0000-0000-0000FC050000}"/>
    <cellStyle name="Porcentagem 13 2 4" xfId="714" xr:uid="{00000000-0005-0000-0000-0000FD050000}"/>
    <cellStyle name="Porcentagem 13 3" xfId="398" xr:uid="{00000000-0005-0000-0000-0000FE050000}"/>
    <cellStyle name="Porcentagem 13 3 2" xfId="1041" xr:uid="{00000000-0005-0000-0000-0000FF050000}"/>
    <cellStyle name="Porcentagem 13 3 3" xfId="1464" xr:uid="{00000000-0005-0000-0000-000000060000}"/>
    <cellStyle name="Porcentagem 13 3 4" xfId="679" xr:uid="{00000000-0005-0000-0000-000001060000}"/>
    <cellStyle name="Porcentagem 13 4" xfId="311" xr:uid="{00000000-0005-0000-0000-000002060000}"/>
    <cellStyle name="Porcentagem 13 4 2" xfId="974" xr:uid="{00000000-0005-0000-0000-000003060000}"/>
    <cellStyle name="Porcentagem 13 4 3" xfId="1449" xr:uid="{00000000-0005-0000-0000-000004060000}"/>
    <cellStyle name="Porcentagem 13 4 4" xfId="613" xr:uid="{00000000-0005-0000-0000-000005060000}"/>
    <cellStyle name="Porcentagem 13 5" xfId="873" xr:uid="{00000000-0005-0000-0000-000006060000}"/>
    <cellStyle name="Porcentagem 13 6" xfId="1428" xr:uid="{00000000-0005-0000-0000-000007060000}"/>
    <cellStyle name="Porcentagem 13 7" xfId="534" xr:uid="{00000000-0005-0000-0000-000008060000}"/>
    <cellStyle name="Porcentagem 13 8" xfId="2969" xr:uid="{00000000-0005-0000-0000-000009060000}"/>
    <cellStyle name="Porcentagem 2" xfId="8" xr:uid="{00000000-0005-0000-0000-00000A060000}"/>
    <cellStyle name="Porcentagem 2 2" xfId="190" xr:uid="{00000000-0005-0000-0000-00000B060000}"/>
    <cellStyle name="Porcentagem 2 2 2" xfId="400" xr:uid="{00000000-0005-0000-0000-00000C060000}"/>
    <cellStyle name="Porcentagem 2 2 3" xfId="313" xr:uid="{00000000-0005-0000-0000-00000D060000}"/>
    <cellStyle name="Porcentagem 2 3" xfId="191" xr:uid="{00000000-0005-0000-0000-00000E060000}"/>
    <cellStyle name="Porcentagem 2 3 2" xfId="401" xr:uid="{00000000-0005-0000-0000-00000F060000}"/>
    <cellStyle name="Porcentagem 2 3 3" xfId="314" xr:uid="{00000000-0005-0000-0000-000010060000}"/>
    <cellStyle name="Porcentagem 2 4" xfId="399" xr:uid="{00000000-0005-0000-0000-000011060000}"/>
    <cellStyle name="Porcentagem 2 5" xfId="312" xr:uid="{00000000-0005-0000-0000-000012060000}"/>
    <cellStyle name="Porcentagem 3" xfId="192" xr:uid="{00000000-0005-0000-0000-000013060000}"/>
    <cellStyle name="Porcentagem 3 2" xfId="402" xr:uid="{00000000-0005-0000-0000-000014060000}"/>
    <cellStyle name="Porcentagem 3 3" xfId="315" xr:uid="{00000000-0005-0000-0000-000015060000}"/>
    <cellStyle name="Porcentagem 4" xfId="193" xr:uid="{00000000-0005-0000-0000-000016060000}"/>
    <cellStyle name="Porcentagem 4 2" xfId="403" xr:uid="{00000000-0005-0000-0000-000017060000}"/>
    <cellStyle name="Porcentagem 4 3" xfId="316" xr:uid="{00000000-0005-0000-0000-000018060000}"/>
    <cellStyle name="Porcentagem 5" xfId="194" xr:uid="{00000000-0005-0000-0000-000019060000}"/>
    <cellStyle name="Porcentagem 5 2" xfId="195" xr:uid="{00000000-0005-0000-0000-00001A060000}"/>
    <cellStyle name="Porcentagem 5 2 2" xfId="405" xr:uid="{00000000-0005-0000-0000-00001B060000}"/>
    <cellStyle name="Porcentagem 5 2 3" xfId="318" xr:uid="{00000000-0005-0000-0000-00001C060000}"/>
    <cellStyle name="Porcentagem 5 3" xfId="404" xr:uid="{00000000-0005-0000-0000-00001D060000}"/>
    <cellStyle name="Porcentagem 5 4" xfId="317" xr:uid="{00000000-0005-0000-0000-00001E060000}"/>
    <cellStyle name="Porcentagem 6" xfId="196" xr:uid="{00000000-0005-0000-0000-00001F060000}"/>
    <cellStyle name="Porcentagem 6 2" xfId="197" xr:uid="{00000000-0005-0000-0000-000020060000}"/>
    <cellStyle name="Porcentagem 6 2 2" xfId="447" xr:uid="{00000000-0005-0000-0000-000021060000}"/>
    <cellStyle name="Porcentagem 6 2 3" xfId="407" xr:uid="{00000000-0005-0000-0000-000022060000}"/>
    <cellStyle name="Porcentagem 6 2 4" xfId="320" xr:uid="{00000000-0005-0000-0000-000023060000}"/>
    <cellStyle name="Porcentagem 6 3" xfId="406" xr:uid="{00000000-0005-0000-0000-000024060000}"/>
    <cellStyle name="Porcentagem 6 4" xfId="319" xr:uid="{00000000-0005-0000-0000-000025060000}"/>
    <cellStyle name="Porcentagem 6 4 2" xfId="12" xr:uid="{00000000-0005-0000-0000-000026060000}"/>
    <cellStyle name="Porcentagem 7" xfId="198" xr:uid="{00000000-0005-0000-0000-000027060000}"/>
    <cellStyle name="Porcentagem 7 2" xfId="199" xr:uid="{00000000-0005-0000-0000-000028060000}"/>
    <cellStyle name="Porcentagem 7 2 2" xfId="409" xr:uid="{00000000-0005-0000-0000-000029060000}"/>
    <cellStyle name="Porcentagem 7 2 3" xfId="322" xr:uid="{00000000-0005-0000-0000-00002A060000}"/>
    <cellStyle name="Porcentagem 7 3" xfId="408" xr:uid="{00000000-0005-0000-0000-00002B060000}"/>
    <cellStyle name="Porcentagem 7 4" xfId="321" xr:uid="{00000000-0005-0000-0000-00002C060000}"/>
    <cellStyle name="Porcentagem 8" xfId="200" xr:uid="{00000000-0005-0000-0000-00002D060000}"/>
    <cellStyle name="Porcentagem 8 2" xfId="201" xr:uid="{00000000-0005-0000-0000-00002E060000}"/>
    <cellStyle name="Porcentagem 8 2 2" xfId="411" xr:uid="{00000000-0005-0000-0000-00002F060000}"/>
    <cellStyle name="Porcentagem 8 2 3" xfId="324" xr:uid="{00000000-0005-0000-0000-000030060000}"/>
    <cellStyle name="Porcentagem 8 3" xfId="410" xr:uid="{00000000-0005-0000-0000-000031060000}"/>
    <cellStyle name="Porcentagem 8 4" xfId="323" xr:uid="{00000000-0005-0000-0000-000032060000}"/>
    <cellStyle name="Porcentagem 9" xfId="202" xr:uid="{00000000-0005-0000-0000-000033060000}"/>
    <cellStyle name="Porcentagem 9 2" xfId="412" xr:uid="{00000000-0005-0000-0000-000034060000}"/>
    <cellStyle name="Porcentagem 9 3" xfId="325" xr:uid="{00000000-0005-0000-0000-000035060000}"/>
    <cellStyle name="Saída 2" xfId="203" xr:uid="{00000000-0005-0000-0000-000036060000}"/>
    <cellStyle name="Saída 2 2" xfId="204" xr:uid="{00000000-0005-0000-0000-000037060000}"/>
    <cellStyle name="Saída 2 2 2" xfId="414" xr:uid="{00000000-0005-0000-0000-000038060000}"/>
    <cellStyle name="Saída 2 2 2 10" xfId="754" xr:uid="{00000000-0005-0000-0000-000039060000}"/>
    <cellStyle name="Saída 2 2 2 10 2" xfId="1578" xr:uid="{00000000-0005-0000-0000-00003A060000}"/>
    <cellStyle name="Saída 2 2 2 10 3" xfId="542" xr:uid="{00000000-0005-0000-0000-00003B060000}"/>
    <cellStyle name="Saída 2 2 2 10 4" xfId="2267" xr:uid="{00000000-0005-0000-0000-00003C060000}"/>
    <cellStyle name="Saída 2 2 2 11" xfId="1100" xr:uid="{00000000-0005-0000-0000-00003D060000}"/>
    <cellStyle name="Saída 2 2 2 11 2" xfId="1888" xr:uid="{00000000-0005-0000-0000-00003E060000}"/>
    <cellStyle name="Saída 2 2 2 11 3" xfId="2405" xr:uid="{00000000-0005-0000-0000-00003F060000}"/>
    <cellStyle name="Saída 2 2 2 11 4" xfId="501" xr:uid="{00000000-0005-0000-0000-000040060000}"/>
    <cellStyle name="Saída 2 2 2 12" xfId="1216" xr:uid="{00000000-0005-0000-0000-000041060000}"/>
    <cellStyle name="Saída 2 2 2 12 2" xfId="2004" xr:uid="{00000000-0005-0000-0000-000042060000}"/>
    <cellStyle name="Saída 2 2 2 12 3" xfId="2491" xr:uid="{00000000-0005-0000-0000-000043060000}"/>
    <cellStyle name="Saída 2 2 2 12 4" xfId="2755" xr:uid="{00000000-0005-0000-0000-000044060000}"/>
    <cellStyle name="Saída 2 2 2 13" xfId="975" xr:uid="{00000000-0005-0000-0000-000045060000}"/>
    <cellStyle name="Saída 2 2 2 13 2" xfId="1773" xr:uid="{00000000-0005-0000-0000-000046060000}"/>
    <cellStyle name="Saída 2 2 2 13 3" xfId="2316" xr:uid="{00000000-0005-0000-0000-000047060000}"/>
    <cellStyle name="Saída 2 2 2 13 4" xfId="2481" xr:uid="{00000000-0005-0000-0000-000048060000}"/>
    <cellStyle name="Saída 2 2 2 14" xfId="767" xr:uid="{00000000-0005-0000-0000-000049060000}"/>
    <cellStyle name="Saída 2 2 2 14 2" xfId="1591" xr:uid="{00000000-0005-0000-0000-00004A060000}"/>
    <cellStyle name="Saída 2 2 2 14 3" xfId="631" xr:uid="{00000000-0005-0000-0000-00004B060000}"/>
    <cellStyle name="Saída 2 2 2 14 4" xfId="2453" xr:uid="{00000000-0005-0000-0000-00004C060000}"/>
    <cellStyle name="Saída 2 2 2 15" xfId="1237" xr:uid="{00000000-0005-0000-0000-00004D060000}"/>
    <cellStyle name="Saída 2 2 2 15 2" xfId="2025" xr:uid="{00000000-0005-0000-0000-00004E060000}"/>
    <cellStyle name="Saída 2 2 2 15 3" xfId="2509" xr:uid="{00000000-0005-0000-0000-00004F060000}"/>
    <cellStyle name="Saída 2 2 2 15 4" xfId="2774" xr:uid="{00000000-0005-0000-0000-000050060000}"/>
    <cellStyle name="Saída 2 2 2 16" xfId="870" xr:uid="{00000000-0005-0000-0000-000051060000}"/>
    <cellStyle name="Saída 2 2 2 16 2" xfId="1676" xr:uid="{00000000-0005-0000-0000-000052060000}"/>
    <cellStyle name="Saída 2 2 2 16 3" xfId="2258" xr:uid="{00000000-0005-0000-0000-000053060000}"/>
    <cellStyle name="Saída 2 2 2 16 4" xfId="2270" xr:uid="{00000000-0005-0000-0000-000054060000}"/>
    <cellStyle name="Saída 2 2 2 17" xfId="1352" xr:uid="{00000000-0005-0000-0000-000055060000}"/>
    <cellStyle name="Saída 2 2 2 17 2" xfId="2140" xr:uid="{00000000-0005-0000-0000-000056060000}"/>
    <cellStyle name="Saída 2 2 2 17 3" xfId="2610" xr:uid="{00000000-0005-0000-0000-000057060000}"/>
    <cellStyle name="Saída 2 2 2 17 4" xfId="2881" xr:uid="{00000000-0005-0000-0000-000058060000}"/>
    <cellStyle name="Saída 2 2 2 18" xfId="1323" xr:uid="{00000000-0005-0000-0000-000059060000}"/>
    <cellStyle name="Saída 2 2 2 18 2" xfId="2111" xr:uid="{00000000-0005-0000-0000-00005A060000}"/>
    <cellStyle name="Saída 2 2 2 18 3" xfId="2581" xr:uid="{00000000-0005-0000-0000-00005B060000}"/>
    <cellStyle name="Saída 2 2 2 18 4" xfId="2852" xr:uid="{00000000-0005-0000-0000-00005C060000}"/>
    <cellStyle name="Saída 2 2 2 19" xfId="1435" xr:uid="{00000000-0005-0000-0000-00005D060000}"/>
    <cellStyle name="Saída 2 2 2 19 2" xfId="2203" xr:uid="{00000000-0005-0000-0000-00005E060000}"/>
    <cellStyle name="Saída 2 2 2 19 3" xfId="2677" xr:uid="{00000000-0005-0000-0000-00005F060000}"/>
    <cellStyle name="Saída 2 2 2 19 4" xfId="2952" xr:uid="{00000000-0005-0000-0000-000060060000}"/>
    <cellStyle name="Saída 2 2 2 2" xfId="1053" xr:uid="{00000000-0005-0000-0000-000061060000}"/>
    <cellStyle name="Saída 2 2 2 2 2" xfId="1849" xr:uid="{00000000-0005-0000-0000-000062060000}"/>
    <cellStyle name="Saída 2 2 2 2 3" xfId="2372" xr:uid="{00000000-0005-0000-0000-000063060000}"/>
    <cellStyle name="Saída 2 2 2 2 4" xfId="540" xr:uid="{00000000-0005-0000-0000-000064060000}"/>
    <cellStyle name="Saída 2 2 2 20" xfId="689" xr:uid="{00000000-0005-0000-0000-000065060000}"/>
    <cellStyle name="Saída 2 2 2 21" xfId="1527" xr:uid="{00000000-0005-0000-0000-000066060000}"/>
    <cellStyle name="Saída 2 2 2 22" xfId="532" xr:uid="{00000000-0005-0000-0000-000067060000}"/>
    <cellStyle name="Saída 2 2 2 23" xfId="2349" xr:uid="{00000000-0005-0000-0000-000068060000}"/>
    <cellStyle name="Saída 2 2 2 3" xfId="1124" xr:uid="{00000000-0005-0000-0000-000069060000}"/>
    <cellStyle name="Saída 2 2 2 3 2" xfId="1912" xr:uid="{00000000-0005-0000-0000-00006A060000}"/>
    <cellStyle name="Saída 2 2 2 3 3" xfId="2420" xr:uid="{00000000-0005-0000-0000-00006B060000}"/>
    <cellStyle name="Saída 2 2 2 3 4" xfId="481" xr:uid="{00000000-0005-0000-0000-00006C060000}"/>
    <cellStyle name="Saída 2 2 2 4" xfId="1003" xr:uid="{00000000-0005-0000-0000-00006D060000}"/>
    <cellStyle name="Saída 2 2 2 4 2" xfId="1801" xr:uid="{00000000-0005-0000-0000-00006E060000}"/>
    <cellStyle name="Saída 2 2 2 4 3" xfId="2338" xr:uid="{00000000-0005-0000-0000-00006F060000}"/>
    <cellStyle name="Saída 2 2 2 4 4" xfId="555" xr:uid="{00000000-0005-0000-0000-000070060000}"/>
    <cellStyle name="Saída 2 2 2 5" xfId="794" xr:uid="{00000000-0005-0000-0000-000071060000}"/>
    <cellStyle name="Saída 2 2 2 5 2" xfId="1618" xr:uid="{00000000-0005-0000-0000-000072060000}"/>
    <cellStyle name="Saída 2 2 2 5 3" xfId="564" xr:uid="{00000000-0005-0000-0000-000073060000}"/>
    <cellStyle name="Saída 2 2 2 5 4" xfId="2328" xr:uid="{00000000-0005-0000-0000-000074060000}"/>
    <cellStyle name="Saída 2 2 2 6" xfId="774" xr:uid="{00000000-0005-0000-0000-000075060000}"/>
    <cellStyle name="Saída 2 2 2 6 2" xfId="1598" xr:uid="{00000000-0005-0000-0000-000076060000}"/>
    <cellStyle name="Saída 2 2 2 6 3" xfId="552" xr:uid="{00000000-0005-0000-0000-000077060000}"/>
    <cellStyle name="Saída 2 2 2 6 4" xfId="2425" xr:uid="{00000000-0005-0000-0000-000078060000}"/>
    <cellStyle name="Saída 2 2 2 7" xfId="1117" xr:uid="{00000000-0005-0000-0000-000079060000}"/>
    <cellStyle name="Saída 2 2 2 7 2" xfId="1905" xr:uid="{00000000-0005-0000-0000-00007A060000}"/>
    <cellStyle name="Saída 2 2 2 7 3" xfId="2415" xr:uid="{00000000-0005-0000-0000-00007B060000}"/>
    <cellStyle name="Saída 2 2 2 7 4" xfId="488" xr:uid="{00000000-0005-0000-0000-00007C060000}"/>
    <cellStyle name="Saída 2 2 2 8" xfId="1246" xr:uid="{00000000-0005-0000-0000-00007D060000}"/>
    <cellStyle name="Saída 2 2 2 8 2" xfId="2034" xr:uid="{00000000-0005-0000-0000-00007E060000}"/>
    <cellStyle name="Saída 2 2 2 8 3" xfId="2518" xr:uid="{00000000-0005-0000-0000-00007F060000}"/>
    <cellStyle name="Saída 2 2 2 8 4" xfId="2783" xr:uid="{00000000-0005-0000-0000-000080060000}"/>
    <cellStyle name="Saída 2 2 2 9" xfId="960" xr:uid="{00000000-0005-0000-0000-000081060000}"/>
    <cellStyle name="Saída 2 2 2 9 2" xfId="1758" xr:uid="{00000000-0005-0000-0000-000082060000}"/>
    <cellStyle name="Saída 2 2 2 9 3" xfId="2308" xr:uid="{00000000-0005-0000-0000-000083060000}"/>
    <cellStyle name="Saída 2 2 2 9 4" xfId="2439" xr:uid="{00000000-0005-0000-0000-000084060000}"/>
    <cellStyle name="Saída 2 2 3" xfId="327" xr:uid="{00000000-0005-0000-0000-000085060000}"/>
    <cellStyle name="Saída 2 2 3 10" xfId="1029" xr:uid="{00000000-0005-0000-0000-000086060000}"/>
    <cellStyle name="Saída 2 2 3 10 2" xfId="1827" xr:uid="{00000000-0005-0000-0000-000087060000}"/>
    <cellStyle name="Saída 2 2 3 10 3" xfId="2354" xr:uid="{00000000-0005-0000-0000-000088060000}"/>
    <cellStyle name="Saída 2 2 3 10 4" xfId="2513" xr:uid="{00000000-0005-0000-0000-000089060000}"/>
    <cellStyle name="Saída 2 2 3 11" xfId="917" xr:uid="{00000000-0005-0000-0000-00008A060000}"/>
    <cellStyle name="Saída 2 2 3 11 2" xfId="1720" xr:uid="{00000000-0005-0000-0000-00008B060000}"/>
    <cellStyle name="Saída 2 2 3 11 3" xfId="2283" xr:uid="{00000000-0005-0000-0000-00008C060000}"/>
    <cellStyle name="Saída 2 2 3 11 4" xfId="1494" xr:uid="{00000000-0005-0000-0000-00008D060000}"/>
    <cellStyle name="Saída 2 2 3 12" xfId="989" xr:uid="{00000000-0005-0000-0000-00008E060000}"/>
    <cellStyle name="Saída 2 2 3 12 2" xfId="1787" xr:uid="{00000000-0005-0000-0000-00008F060000}"/>
    <cellStyle name="Saída 2 2 3 12 3" xfId="2329" xr:uid="{00000000-0005-0000-0000-000090060000}"/>
    <cellStyle name="Saída 2 2 3 12 4" xfId="2259" xr:uid="{00000000-0005-0000-0000-000091060000}"/>
    <cellStyle name="Saída 2 2 3 13" xfId="1276" xr:uid="{00000000-0005-0000-0000-000092060000}"/>
    <cellStyle name="Saída 2 2 3 13 2" xfId="2064" xr:uid="{00000000-0005-0000-0000-000093060000}"/>
    <cellStyle name="Saída 2 2 3 13 3" xfId="2544" xr:uid="{00000000-0005-0000-0000-000094060000}"/>
    <cellStyle name="Saída 2 2 3 13 4" xfId="2810" xr:uid="{00000000-0005-0000-0000-000095060000}"/>
    <cellStyle name="Saída 2 2 3 14" xfId="1320" xr:uid="{00000000-0005-0000-0000-000096060000}"/>
    <cellStyle name="Saída 2 2 3 14 2" xfId="2108" xr:uid="{00000000-0005-0000-0000-000097060000}"/>
    <cellStyle name="Saída 2 2 3 14 3" xfId="2579" xr:uid="{00000000-0005-0000-0000-000098060000}"/>
    <cellStyle name="Saída 2 2 3 14 4" xfId="2850" xr:uid="{00000000-0005-0000-0000-000099060000}"/>
    <cellStyle name="Saída 2 2 3 15" xfId="1339" xr:uid="{00000000-0005-0000-0000-00009A060000}"/>
    <cellStyle name="Saída 2 2 3 15 2" xfId="2127" xr:uid="{00000000-0005-0000-0000-00009B060000}"/>
    <cellStyle name="Saída 2 2 3 15 3" xfId="2597" xr:uid="{00000000-0005-0000-0000-00009C060000}"/>
    <cellStyle name="Saída 2 2 3 15 4" xfId="2868" xr:uid="{00000000-0005-0000-0000-00009D060000}"/>
    <cellStyle name="Saída 2 2 3 16" xfId="1343" xr:uid="{00000000-0005-0000-0000-00009E060000}"/>
    <cellStyle name="Saída 2 2 3 16 2" xfId="2131" xr:uid="{00000000-0005-0000-0000-00009F060000}"/>
    <cellStyle name="Saída 2 2 3 16 3" xfId="2601" xr:uid="{00000000-0005-0000-0000-0000A0060000}"/>
    <cellStyle name="Saída 2 2 3 16 4" xfId="2872" xr:uid="{00000000-0005-0000-0000-0000A1060000}"/>
    <cellStyle name="Saída 2 2 3 17" xfId="991" xr:uid="{00000000-0005-0000-0000-0000A2060000}"/>
    <cellStyle name="Saída 2 2 3 17 2" xfId="1789" xr:uid="{00000000-0005-0000-0000-0000A3060000}"/>
    <cellStyle name="Saída 2 2 3 17 3" xfId="2330" xr:uid="{00000000-0005-0000-0000-0000A4060000}"/>
    <cellStyle name="Saída 2 2 3 17 4" xfId="2642" xr:uid="{00000000-0005-0000-0000-0000A5060000}"/>
    <cellStyle name="Saída 2 2 3 18" xfId="1342" xr:uid="{00000000-0005-0000-0000-0000A6060000}"/>
    <cellStyle name="Saída 2 2 3 18 2" xfId="2130" xr:uid="{00000000-0005-0000-0000-0000A7060000}"/>
    <cellStyle name="Saída 2 2 3 18 3" xfId="2600" xr:uid="{00000000-0005-0000-0000-0000A8060000}"/>
    <cellStyle name="Saída 2 2 3 18 4" xfId="2871" xr:uid="{00000000-0005-0000-0000-0000A9060000}"/>
    <cellStyle name="Saída 2 2 3 19" xfId="1429" xr:uid="{00000000-0005-0000-0000-0000AA060000}"/>
    <cellStyle name="Saída 2 2 3 19 2" xfId="2198" xr:uid="{00000000-0005-0000-0000-0000AB060000}"/>
    <cellStyle name="Saída 2 2 3 19 3" xfId="2672" xr:uid="{00000000-0005-0000-0000-0000AC060000}"/>
    <cellStyle name="Saída 2 2 3 19 4" xfId="2948" xr:uid="{00000000-0005-0000-0000-0000AD060000}"/>
    <cellStyle name="Saída 2 2 3 2" xfId="985" xr:uid="{00000000-0005-0000-0000-0000AE060000}"/>
    <cellStyle name="Saída 2 2 3 2 2" xfId="1783" xr:uid="{00000000-0005-0000-0000-0000AF060000}"/>
    <cellStyle name="Saída 2 2 3 2 3" xfId="2325" xr:uid="{00000000-0005-0000-0000-0000B0060000}"/>
    <cellStyle name="Saída 2 2 3 2 4" xfId="2269" xr:uid="{00000000-0005-0000-0000-0000B1060000}"/>
    <cellStyle name="Saída 2 2 3 20" xfId="624" xr:uid="{00000000-0005-0000-0000-0000B2060000}"/>
    <cellStyle name="Saída 2 2 3 21" xfId="1487" xr:uid="{00000000-0005-0000-0000-0000B3060000}"/>
    <cellStyle name="Saída 2 2 3 22" xfId="1819" xr:uid="{00000000-0005-0000-0000-0000B4060000}"/>
    <cellStyle name="Saída 2 2 3 23" xfId="2293" xr:uid="{00000000-0005-0000-0000-0000B5060000}"/>
    <cellStyle name="Saída 2 2 3 3" xfId="760" xr:uid="{00000000-0005-0000-0000-0000B6060000}"/>
    <cellStyle name="Saída 2 2 3 3 2" xfId="1584" xr:uid="{00000000-0005-0000-0000-0000B7060000}"/>
    <cellStyle name="Saída 2 2 3 3 3" xfId="546" xr:uid="{00000000-0005-0000-0000-0000B8060000}"/>
    <cellStyle name="Saída 2 2 3 3 4" xfId="2695" xr:uid="{00000000-0005-0000-0000-0000B9060000}"/>
    <cellStyle name="Saída 2 2 3 4" xfId="1045" xr:uid="{00000000-0005-0000-0000-0000BA060000}"/>
    <cellStyle name="Saída 2 2 3 4 2" xfId="1841" xr:uid="{00000000-0005-0000-0000-0000BB060000}"/>
    <cellStyle name="Saída 2 2 3 4 3" xfId="2366" xr:uid="{00000000-0005-0000-0000-0000BC060000}"/>
    <cellStyle name="Saída 2 2 3 4 4" xfId="2295" xr:uid="{00000000-0005-0000-0000-0000BD060000}"/>
    <cellStyle name="Saída 2 2 3 5" xfId="1033" xr:uid="{00000000-0005-0000-0000-0000BE060000}"/>
    <cellStyle name="Saída 2 2 3 5 2" xfId="1830" xr:uid="{00000000-0005-0000-0000-0000BF060000}"/>
    <cellStyle name="Saída 2 2 3 5 3" xfId="2357" xr:uid="{00000000-0005-0000-0000-0000C0060000}"/>
    <cellStyle name="Saída 2 2 3 5 4" xfId="2569" xr:uid="{00000000-0005-0000-0000-0000C1060000}"/>
    <cellStyle name="Saída 2 2 3 6" xfId="782" xr:uid="{00000000-0005-0000-0000-0000C2060000}"/>
    <cellStyle name="Saída 2 2 3 6 2" xfId="1606" xr:uid="{00000000-0005-0000-0000-0000C3060000}"/>
    <cellStyle name="Saída 2 2 3 6 3" xfId="554" xr:uid="{00000000-0005-0000-0000-0000C4060000}"/>
    <cellStyle name="Saída 2 2 3 6 4" xfId="2609" xr:uid="{00000000-0005-0000-0000-0000C5060000}"/>
    <cellStyle name="Saída 2 2 3 7" xfId="1174" xr:uid="{00000000-0005-0000-0000-0000C6060000}"/>
    <cellStyle name="Saída 2 2 3 7 2" xfId="1962" xr:uid="{00000000-0005-0000-0000-0000C7060000}"/>
    <cellStyle name="Saída 2 2 3 7 3" xfId="2460" xr:uid="{00000000-0005-0000-0000-0000C8060000}"/>
    <cellStyle name="Saída 2 2 3 7 4" xfId="2720" xr:uid="{00000000-0005-0000-0000-0000C9060000}"/>
    <cellStyle name="Saída 2 2 3 8" xfId="1167" xr:uid="{00000000-0005-0000-0000-0000CA060000}"/>
    <cellStyle name="Saída 2 2 3 8 2" xfId="1955" xr:uid="{00000000-0005-0000-0000-0000CB060000}"/>
    <cellStyle name="Saída 2 2 3 8 3" xfId="2456" xr:uid="{00000000-0005-0000-0000-0000CC060000}"/>
    <cellStyle name="Saída 2 2 3 8 4" xfId="2714" xr:uid="{00000000-0005-0000-0000-0000CD060000}"/>
    <cellStyle name="Saída 2 2 3 9" xfId="1236" xr:uid="{00000000-0005-0000-0000-0000CE060000}"/>
    <cellStyle name="Saída 2 2 3 9 2" xfId="2024" xr:uid="{00000000-0005-0000-0000-0000CF060000}"/>
    <cellStyle name="Saída 2 2 3 9 3" xfId="2508" xr:uid="{00000000-0005-0000-0000-0000D0060000}"/>
    <cellStyle name="Saída 2 2 3 9 4" xfId="2773" xr:uid="{00000000-0005-0000-0000-0000D1060000}"/>
    <cellStyle name="Saída 2 2 4" xfId="1408" xr:uid="{00000000-0005-0000-0000-0000D2060000}"/>
    <cellStyle name="Saída 2 2 4 2" xfId="2191" xr:uid="{00000000-0005-0000-0000-0000D3060000}"/>
    <cellStyle name="Saída 2 2 4 3" xfId="2658" xr:uid="{00000000-0005-0000-0000-0000D4060000}"/>
    <cellStyle name="Saída 2 2 4 4" xfId="2933" xr:uid="{00000000-0005-0000-0000-0000D5060000}"/>
    <cellStyle name="Saída 2 3" xfId="413" xr:uid="{00000000-0005-0000-0000-0000D6060000}"/>
    <cellStyle name="Saída 2 3 10" xfId="1015" xr:uid="{00000000-0005-0000-0000-0000D7060000}"/>
    <cellStyle name="Saída 2 3 10 2" xfId="1813" xr:uid="{00000000-0005-0000-0000-0000D8060000}"/>
    <cellStyle name="Saída 2 3 10 3" xfId="2347" xr:uid="{00000000-0005-0000-0000-0000D9060000}"/>
    <cellStyle name="Saída 2 3 10 4" xfId="2280" xr:uid="{00000000-0005-0000-0000-0000DA060000}"/>
    <cellStyle name="Saída 2 3 11" xfId="1222" xr:uid="{00000000-0005-0000-0000-0000DB060000}"/>
    <cellStyle name="Saída 2 3 11 2" xfId="2010" xr:uid="{00000000-0005-0000-0000-0000DC060000}"/>
    <cellStyle name="Saída 2 3 11 3" xfId="2495" xr:uid="{00000000-0005-0000-0000-0000DD060000}"/>
    <cellStyle name="Saída 2 3 11 4" xfId="2759" xr:uid="{00000000-0005-0000-0000-0000DE060000}"/>
    <cellStyle name="Saída 2 3 12" xfId="784" xr:uid="{00000000-0005-0000-0000-0000DF060000}"/>
    <cellStyle name="Saída 2 3 12 2" xfId="1608" xr:uid="{00000000-0005-0000-0000-0000E0060000}"/>
    <cellStyle name="Saída 2 3 12 3" xfId="556" xr:uid="{00000000-0005-0000-0000-0000E1060000}"/>
    <cellStyle name="Saída 2 3 12 4" xfId="2284" xr:uid="{00000000-0005-0000-0000-0000E2060000}"/>
    <cellStyle name="Saída 2 3 13" xfId="1032" xr:uid="{00000000-0005-0000-0000-0000E3060000}"/>
    <cellStyle name="Saída 2 3 13 2" xfId="1829" xr:uid="{00000000-0005-0000-0000-0000E4060000}"/>
    <cellStyle name="Saída 2 3 13 3" xfId="2356" xr:uid="{00000000-0005-0000-0000-0000E5060000}"/>
    <cellStyle name="Saída 2 3 13 4" xfId="2587" xr:uid="{00000000-0005-0000-0000-0000E6060000}"/>
    <cellStyle name="Saída 2 3 14" xfId="1131" xr:uid="{00000000-0005-0000-0000-0000E7060000}"/>
    <cellStyle name="Saída 2 3 14 2" xfId="1919" xr:uid="{00000000-0005-0000-0000-0000E8060000}"/>
    <cellStyle name="Saída 2 3 14 3" xfId="2424" xr:uid="{00000000-0005-0000-0000-0000E9060000}"/>
    <cellStyle name="Saída 2 3 14 4" xfId="474" xr:uid="{00000000-0005-0000-0000-0000EA060000}"/>
    <cellStyle name="Saída 2 3 15" xfId="1264" xr:uid="{00000000-0005-0000-0000-0000EB060000}"/>
    <cellStyle name="Saída 2 3 15 2" xfId="2052" xr:uid="{00000000-0005-0000-0000-0000EC060000}"/>
    <cellStyle name="Saída 2 3 15 3" xfId="2533" xr:uid="{00000000-0005-0000-0000-0000ED060000}"/>
    <cellStyle name="Saída 2 3 15 4" xfId="2799" xr:uid="{00000000-0005-0000-0000-0000EE060000}"/>
    <cellStyle name="Saída 2 3 16" xfId="956" xr:uid="{00000000-0005-0000-0000-0000EF060000}"/>
    <cellStyle name="Saída 2 3 16 2" xfId="1755" xr:uid="{00000000-0005-0000-0000-0000F0060000}"/>
    <cellStyle name="Saída 2 3 16 3" xfId="2306" xr:uid="{00000000-0005-0000-0000-0000F1060000}"/>
    <cellStyle name="Saída 2 3 16 4" xfId="2586" xr:uid="{00000000-0005-0000-0000-0000F2060000}"/>
    <cellStyle name="Saída 2 3 17" xfId="1373" xr:uid="{00000000-0005-0000-0000-0000F3060000}"/>
    <cellStyle name="Saída 2 3 17 2" xfId="2161" xr:uid="{00000000-0005-0000-0000-0000F4060000}"/>
    <cellStyle name="Saída 2 3 17 3" xfId="2627" xr:uid="{00000000-0005-0000-0000-0000F5060000}"/>
    <cellStyle name="Saída 2 3 17 4" xfId="2902" xr:uid="{00000000-0005-0000-0000-0000F6060000}"/>
    <cellStyle name="Saída 2 3 18" xfId="1316" xr:uid="{00000000-0005-0000-0000-0000F7060000}"/>
    <cellStyle name="Saída 2 3 18 2" xfId="2104" xr:uid="{00000000-0005-0000-0000-0000F8060000}"/>
    <cellStyle name="Saída 2 3 18 3" xfId="2576" xr:uid="{00000000-0005-0000-0000-0000F9060000}"/>
    <cellStyle name="Saída 2 3 18 4" xfId="2847" xr:uid="{00000000-0005-0000-0000-0000FA060000}"/>
    <cellStyle name="Saída 2 3 19" xfId="1434" xr:uid="{00000000-0005-0000-0000-0000FB060000}"/>
    <cellStyle name="Saída 2 3 19 2" xfId="2202" xr:uid="{00000000-0005-0000-0000-0000FC060000}"/>
    <cellStyle name="Saída 2 3 19 3" xfId="2676" xr:uid="{00000000-0005-0000-0000-0000FD060000}"/>
    <cellStyle name="Saída 2 3 19 4" xfId="2951" xr:uid="{00000000-0005-0000-0000-0000FE060000}"/>
    <cellStyle name="Saída 2 3 2" xfId="1052" xr:uid="{00000000-0005-0000-0000-0000FF060000}"/>
    <cellStyle name="Saída 2 3 2 2" xfId="1848" xr:uid="{00000000-0005-0000-0000-000000070000}"/>
    <cellStyle name="Saída 2 3 2 3" xfId="2371" xr:uid="{00000000-0005-0000-0000-000001070000}"/>
    <cellStyle name="Saída 2 3 2 4" xfId="2368" xr:uid="{00000000-0005-0000-0000-000002070000}"/>
    <cellStyle name="Saída 2 3 20" xfId="688" xr:uid="{00000000-0005-0000-0000-000003070000}"/>
    <cellStyle name="Saída 2 3 21" xfId="1526" xr:uid="{00000000-0005-0000-0000-000004070000}"/>
    <cellStyle name="Saída 2 3 22" xfId="531" xr:uid="{00000000-0005-0000-0000-000005070000}"/>
    <cellStyle name="Saída 2 3 23" xfId="2691" xr:uid="{00000000-0005-0000-0000-000006070000}"/>
    <cellStyle name="Saída 2 3 3" xfId="1123" xr:uid="{00000000-0005-0000-0000-000007070000}"/>
    <cellStyle name="Saída 2 3 3 2" xfId="1911" xr:uid="{00000000-0005-0000-0000-000008070000}"/>
    <cellStyle name="Saída 2 3 3 3" xfId="2419" xr:uid="{00000000-0005-0000-0000-000009070000}"/>
    <cellStyle name="Saída 2 3 3 4" xfId="482" xr:uid="{00000000-0005-0000-0000-00000A070000}"/>
    <cellStyle name="Saída 2 3 4" xfId="1071" xr:uid="{00000000-0005-0000-0000-00000B070000}"/>
    <cellStyle name="Saída 2 3 4 2" xfId="1867" xr:uid="{00000000-0005-0000-0000-00000C070000}"/>
    <cellStyle name="Saída 2 3 4 3" xfId="2387" xr:uid="{00000000-0005-0000-0000-00000D070000}"/>
    <cellStyle name="Saída 2 3 4 4" xfId="2285" xr:uid="{00000000-0005-0000-0000-00000E070000}"/>
    <cellStyle name="Saída 2 3 5" xfId="962" xr:uid="{00000000-0005-0000-0000-00000F070000}"/>
    <cellStyle name="Saída 2 3 5 2" xfId="1760" xr:uid="{00000000-0005-0000-0000-000010070000}"/>
    <cellStyle name="Saída 2 3 5 3" xfId="2310" xr:uid="{00000000-0005-0000-0000-000011070000}"/>
    <cellStyle name="Saída 2 3 5 4" xfId="2507" xr:uid="{00000000-0005-0000-0000-000012070000}"/>
    <cellStyle name="Saída 2 3 6" xfId="757" xr:uid="{00000000-0005-0000-0000-000013070000}"/>
    <cellStyle name="Saída 2 3 6 2" xfId="1581" xr:uid="{00000000-0005-0000-0000-000014070000}"/>
    <cellStyle name="Saída 2 3 6 3" xfId="543" xr:uid="{00000000-0005-0000-0000-000015070000}"/>
    <cellStyle name="Saída 2 3 6 4" xfId="2375" xr:uid="{00000000-0005-0000-0000-000016070000}"/>
    <cellStyle name="Saída 2 3 7" xfId="824" xr:uid="{00000000-0005-0000-0000-000017070000}"/>
    <cellStyle name="Saída 2 3 7 2" xfId="1648" xr:uid="{00000000-0005-0000-0000-000018070000}"/>
    <cellStyle name="Saída 2 3 7 3" xfId="2238" xr:uid="{00000000-0005-0000-0000-000019070000}"/>
    <cellStyle name="Saída 2 3 7 4" xfId="2307" xr:uid="{00000000-0005-0000-0000-00001A070000}"/>
    <cellStyle name="Saída 2 3 8" xfId="1245" xr:uid="{00000000-0005-0000-0000-00001B070000}"/>
    <cellStyle name="Saída 2 3 8 2" xfId="2033" xr:uid="{00000000-0005-0000-0000-00001C070000}"/>
    <cellStyle name="Saída 2 3 8 3" xfId="2517" xr:uid="{00000000-0005-0000-0000-00001D070000}"/>
    <cellStyle name="Saída 2 3 8 4" xfId="2782" xr:uid="{00000000-0005-0000-0000-00001E070000}"/>
    <cellStyle name="Saída 2 3 9" xfId="1130" xr:uid="{00000000-0005-0000-0000-00001F070000}"/>
    <cellStyle name="Saída 2 3 9 2" xfId="1918" xr:uid="{00000000-0005-0000-0000-000020070000}"/>
    <cellStyle name="Saída 2 3 9 3" xfId="2423" xr:uid="{00000000-0005-0000-0000-000021070000}"/>
    <cellStyle name="Saída 2 3 9 4" xfId="1730" xr:uid="{00000000-0005-0000-0000-000022070000}"/>
    <cellStyle name="Saída 2 4" xfId="326" xr:uid="{00000000-0005-0000-0000-000023070000}"/>
    <cellStyle name="Saída 2 4 10" xfId="1141" xr:uid="{00000000-0005-0000-0000-000024070000}"/>
    <cellStyle name="Saída 2 4 10 2" xfId="1929" xr:uid="{00000000-0005-0000-0000-000025070000}"/>
    <cellStyle name="Saída 2 4 10 3" xfId="2433" xr:uid="{00000000-0005-0000-0000-000026070000}"/>
    <cellStyle name="Saída 2 4 10 4" xfId="477" xr:uid="{00000000-0005-0000-0000-000027070000}"/>
    <cellStyle name="Saída 2 4 11" xfId="789" xr:uid="{00000000-0005-0000-0000-000028070000}"/>
    <cellStyle name="Saída 2 4 11 2" xfId="1613" xr:uid="{00000000-0005-0000-0000-000029070000}"/>
    <cellStyle name="Saída 2 4 11 3" xfId="559" xr:uid="{00000000-0005-0000-0000-00002A070000}"/>
    <cellStyle name="Saída 2 4 11 4" xfId="2249" xr:uid="{00000000-0005-0000-0000-00002B070000}"/>
    <cellStyle name="Saída 2 4 12" xfId="858" xr:uid="{00000000-0005-0000-0000-00002C070000}"/>
    <cellStyle name="Saída 2 4 12 2" xfId="1664" xr:uid="{00000000-0005-0000-0000-00002D070000}"/>
    <cellStyle name="Saída 2 4 12 3" xfId="2248" xr:uid="{00000000-0005-0000-0000-00002E070000}"/>
    <cellStyle name="Saída 2 4 12 4" xfId="2277" xr:uid="{00000000-0005-0000-0000-00002F070000}"/>
    <cellStyle name="Saída 2 4 13" xfId="853" xr:uid="{00000000-0005-0000-0000-000030070000}"/>
    <cellStyle name="Saída 2 4 13 2" xfId="1660" xr:uid="{00000000-0005-0000-0000-000031070000}"/>
    <cellStyle name="Saída 2 4 13 3" xfId="2245" xr:uid="{00000000-0005-0000-0000-000032070000}"/>
    <cellStyle name="Saída 2 4 13 4" xfId="2227" xr:uid="{00000000-0005-0000-0000-000033070000}"/>
    <cellStyle name="Saída 2 4 14" xfId="945" xr:uid="{00000000-0005-0000-0000-000034070000}"/>
    <cellStyle name="Saída 2 4 14 2" xfId="1746" xr:uid="{00000000-0005-0000-0000-000035070000}"/>
    <cellStyle name="Saída 2 4 14 3" xfId="2298" xr:uid="{00000000-0005-0000-0000-000036070000}"/>
    <cellStyle name="Saída 2 4 14 4" xfId="2471" xr:uid="{00000000-0005-0000-0000-000037070000}"/>
    <cellStyle name="Saída 2 4 15" xfId="1145" xr:uid="{00000000-0005-0000-0000-000038070000}"/>
    <cellStyle name="Saída 2 4 15 2" xfId="1933" xr:uid="{00000000-0005-0000-0000-000039070000}"/>
    <cellStyle name="Saída 2 4 15 3" xfId="2436" xr:uid="{00000000-0005-0000-0000-00003A070000}"/>
    <cellStyle name="Saída 2 4 15 4" xfId="1541" xr:uid="{00000000-0005-0000-0000-00003B070000}"/>
    <cellStyle name="Saída 2 4 16" xfId="905" xr:uid="{00000000-0005-0000-0000-00003C070000}"/>
    <cellStyle name="Saída 2 4 16 2" xfId="1708" xr:uid="{00000000-0005-0000-0000-00003D070000}"/>
    <cellStyle name="Saída 2 4 16 3" xfId="2275" xr:uid="{00000000-0005-0000-0000-00003E070000}"/>
    <cellStyle name="Saída 2 4 16 4" xfId="1696" xr:uid="{00000000-0005-0000-0000-00003F070000}"/>
    <cellStyle name="Saída 2 4 17" xfId="1394" xr:uid="{00000000-0005-0000-0000-000040070000}"/>
    <cellStyle name="Saída 2 4 17 2" xfId="2182" xr:uid="{00000000-0005-0000-0000-000041070000}"/>
    <cellStyle name="Saída 2 4 17 3" xfId="2646" xr:uid="{00000000-0005-0000-0000-000042070000}"/>
    <cellStyle name="Saída 2 4 17 4" xfId="2921" xr:uid="{00000000-0005-0000-0000-000043070000}"/>
    <cellStyle name="Saída 2 4 18" xfId="1401" xr:uid="{00000000-0005-0000-0000-000044070000}"/>
    <cellStyle name="Saída 2 4 18 2" xfId="2189" xr:uid="{00000000-0005-0000-0000-000045070000}"/>
    <cellStyle name="Saída 2 4 18 3" xfId="2652" xr:uid="{00000000-0005-0000-0000-000046070000}"/>
    <cellStyle name="Saída 2 4 18 4" xfId="2928" xr:uid="{00000000-0005-0000-0000-000047070000}"/>
    <cellStyle name="Saída 2 4 19" xfId="1451" xr:uid="{00000000-0005-0000-0000-000048070000}"/>
    <cellStyle name="Saída 2 4 19 2" xfId="2212" xr:uid="{00000000-0005-0000-0000-000049070000}"/>
    <cellStyle name="Saída 2 4 19 3" xfId="2685" xr:uid="{00000000-0005-0000-0000-00004A070000}"/>
    <cellStyle name="Saída 2 4 19 4" xfId="2955" xr:uid="{00000000-0005-0000-0000-00004B070000}"/>
    <cellStyle name="Saída 2 4 2" xfId="984" xr:uid="{00000000-0005-0000-0000-00004C070000}"/>
    <cellStyle name="Saída 2 4 2 2" xfId="1782" xr:uid="{00000000-0005-0000-0000-00004D070000}"/>
    <cellStyle name="Saída 2 4 2 3" xfId="2324" xr:uid="{00000000-0005-0000-0000-00004E070000}"/>
    <cellStyle name="Saída 2 4 2 4" xfId="2434" xr:uid="{00000000-0005-0000-0000-00004F070000}"/>
    <cellStyle name="Saída 2 4 20" xfId="623" xr:uid="{00000000-0005-0000-0000-000050070000}"/>
    <cellStyle name="Saída 2 4 21" xfId="1486" xr:uid="{00000000-0005-0000-0000-000051070000}"/>
    <cellStyle name="Saída 2 4 22" xfId="2219" xr:uid="{00000000-0005-0000-0000-000052070000}"/>
    <cellStyle name="Saída 2 4 23" xfId="614" xr:uid="{00000000-0005-0000-0000-000053070000}"/>
    <cellStyle name="Saída 2 4 3" xfId="761" xr:uid="{00000000-0005-0000-0000-000054070000}"/>
    <cellStyle name="Saída 2 4 3 2" xfId="1585" xr:uid="{00000000-0005-0000-0000-000055070000}"/>
    <cellStyle name="Saída 2 4 3 3" xfId="547" xr:uid="{00000000-0005-0000-0000-000056070000}"/>
    <cellStyle name="Saída 2 4 3 4" xfId="2297" xr:uid="{00000000-0005-0000-0000-000057070000}"/>
    <cellStyle name="Saída 2 4 4" xfId="979" xr:uid="{00000000-0005-0000-0000-000058070000}"/>
    <cellStyle name="Saída 2 4 4 2" xfId="1777" xr:uid="{00000000-0005-0000-0000-000059070000}"/>
    <cellStyle name="Saída 2 4 4 3" xfId="2320" xr:uid="{00000000-0005-0000-0000-00005A070000}"/>
    <cellStyle name="Saída 2 4 4 4" xfId="2512" xr:uid="{00000000-0005-0000-0000-00005B070000}"/>
    <cellStyle name="Saída 2 4 5" xfId="877" xr:uid="{00000000-0005-0000-0000-00005C070000}"/>
    <cellStyle name="Saída 2 4 5 2" xfId="1682" xr:uid="{00000000-0005-0000-0000-00005D070000}"/>
    <cellStyle name="Saída 2 4 5 3" xfId="2261" xr:uid="{00000000-0005-0000-0000-00005E070000}"/>
    <cellStyle name="Saída 2 4 5 4" xfId="2608" xr:uid="{00000000-0005-0000-0000-00005F070000}"/>
    <cellStyle name="Saída 2 4 6" xfId="803" xr:uid="{00000000-0005-0000-0000-000060070000}"/>
    <cellStyle name="Saída 2 4 6 2" xfId="1627" xr:uid="{00000000-0005-0000-0000-000061070000}"/>
    <cellStyle name="Saída 2 4 6 3" xfId="571" xr:uid="{00000000-0005-0000-0000-000062070000}"/>
    <cellStyle name="Saída 2 4 6 4" xfId="2567" xr:uid="{00000000-0005-0000-0000-000063070000}"/>
    <cellStyle name="Saída 2 4 7" xfId="756" xr:uid="{00000000-0005-0000-0000-000064070000}"/>
    <cellStyle name="Saída 2 4 7 2" xfId="1580" xr:uid="{00000000-0005-0000-0000-000065070000}"/>
    <cellStyle name="Saída 2 4 7 3" xfId="622" xr:uid="{00000000-0005-0000-0000-000066070000}"/>
    <cellStyle name="Saída 2 4 7 4" xfId="2385" xr:uid="{00000000-0005-0000-0000-000067070000}"/>
    <cellStyle name="Saída 2 4 8" xfId="1221" xr:uid="{00000000-0005-0000-0000-000068070000}"/>
    <cellStyle name="Saída 2 4 8 2" xfId="2009" xr:uid="{00000000-0005-0000-0000-000069070000}"/>
    <cellStyle name="Saída 2 4 8 3" xfId="2494" xr:uid="{00000000-0005-0000-0000-00006A070000}"/>
    <cellStyle name="Saída 2 4 8 4" xfId="2758" xr:uid="{00000000-0005-0000-0000-00006B070000}"/>
    <cellStyle name="Saída 2 4 9" xfId="793" xr:uid="{00000000-0005-0000-0000-00006C070000}"/>
    <cellStyle name="Saída 2 4 9 2" xfId="1617" xr:uid="{00000000-0005-0000-0000-00006D070000}"/>
    <cellStyle name="Saída 2 4 9 3" xfId="563" xr:uid="{00000000-0005-0000-0000-00006E070000}"/>
    <cellStyle name="Saída 2 4 9 4" xfId="2367" xr:uid="{00000000-0005-0000-0000-00006F070000}"/>
    <cellStyle name="Saída 2 5" xfId="1458" xr:uid="{00000000-0005-0000-0000-000070070000}"/>
    <cellStyle name="Saída 2 5 2" xfId="2216" xr:uid="{00000000-0005-0000-0000-000071070000}"/>
    <cellStyle name="Saída 2 5 3" xfId="2689" xr:uid="{00000000-0005-0000-0000-000072070000}"/>
    <cellStyle name="Saída 2 5 4" xfId="2959" xr:uid="{00000000-0005-0000-0000-000073070000}"/>
    <cellStyle name="Saída 3" xfId="205" xr:uid="{00000000-0005-0000-0000-000074070000}"/>
    <cellStyle name="Saída 3 2" xfId="206" xr:uid="{00000000-0005-0000-0000-000075070000}"/>
    <cellStyle name="Saída 3 2 2" xfId="416" xr:uid="{00000000-0005-0000-0000-000076070000}"/>
    <cellStyle name="Saída 3 2 2 10" xfId="1027" xr:uid="{00000000-0005-0000-0000-000077070000}"/>
    <cellStyle name="Saída 3 2 2 10 2" xfId="1825" xr:uid="{00000000-0005-0000-0000-000078070000}"/>
    <cellStyle name="Saída 3 2 2 10 3" xfId="2353" xr:uid="{00000000-0005-0000-0000-000079070000}"/>
    <cellStyle name="Saída 3 2 2 10 4" xfId="2699" xr:uid="{00000000-0005-0000-0000-00007A070000}"/>
    <cellStyle name="Saída 3 2 2 11" xfId="1297" xr:uid="{00000000-0005-0000-0000-00007B070000}"/>
    <cellStyle name="Saída 3 2 2 11 2" xfId="2085" xr:uid="{00000000-0005-0000-0000-00007C070000}"/>
    <cellStyle name="Saída 3 2 2 11 3" xfId="2560" xr:uid="{00000000-0005-0000-0000-00007D070000}"/>
    <cellStyle name="Saída 3 2 2 11 4" xfId="2829" xr:uid="{00000000-0005-0000-0000-00007E070000}"/>
    <cellStyle name="Saída 3 2 2 12" xfId="828" xr:uid="{00000000-0005-0000-0000-00007F070000}"/>
    <cellStyle name="Saída 3 2 2 12 2" xfId="1652" xr:uid="{00000000-0005-0000-0000-000080070000}"/>
    <cellStyle name="Saída 3 2 2 12 3" xfId="2242" xr:uid="{00000000-0005-0000-0000-000081070000}"/>
    <cellStyle name="Saída 3 2 2 12 4" xfId="538" xr:uid="{00000000-0005-0000-0000-000082070000}"/>
    <cellStyle name="Saída 3 2 2 13" xfId="1315" xr:uid="{00000000-0005-0000-0000-000083070000}"/>
    <cellStyle name="Saída 3 2 2 13 2" xfId="2103" xr:uid="{00000000-0005-0000-0000-000084070000}"/>
    <cellStyle name="Saída 3 2 2 13 3" xfId="2575" xr:uid="{00000000-0005-0000-0000-000085070000}"/>
    <cellStyle name="Saída 3 2 2 13 4" xfId="2846" xr:uid="{00000000-0005-0000-0000-000086070000}"/>
    <cellStyle name="Saída 3 2 2 14" xfId="1335" xr:uid="{00000000-0005-0000-0000-000087070000}"/>
    <cellStyle name="Saída 3 2 2 14 2" xfId="2123" xr:uid="{00000000-0005-0000-0000-000088070000}"/>
    <cellStyle name="Saída 3 2 2 14 3" xfId="2593" xr:uid="{00000000-0005-0000-0000-000089070000}"/>
    <cellStyle name="Saída 3 2 2 14 4" xfId="2864" xr:uid="{00000000-0005-0000-0000-00008A070000}"/>
    <cellStyle name="Saída 3 2 2 15" xfId="1358" xr:uid="{00000000-0005-0000-0000-00008B070000}"/>
    <cellStyle name="Saída 3 2 2 15 2" xfId="2146" xr:uid="{00000000-0005-0000-0000-00008C070000}"/>
    <cellStyle name="Saída 3 2 2 15 3" xfId="2615" xr:uid="{00000000-0005-0000-0000-00008D070000}"/>
    <cellStyle name="Saída 3 2 2 15 4" xfId="2887" xr:uid="{00000000-0005-0000-0000-00008E070000}"/>
    <cellStyle name="Saída 3 2 2 16" xfId="1146" xr:uid="{00000000-0005-0000-0000-00008F070000}"/>
    <cellStyle name="Saída 3 2 2 16 2" xfId="1934" xr:uid="{00000000-0005-0000-0000-000090070000}"/>
    <cellStyle name="Saída 3 2 2 16 3" xfId="2437" xr:uid="{00000000-0005-0000-0000-000091070000}"/>
    <cellStyle name="Saída 3 2 2 16 4" xfId="1865" xr:uid="{00000000-0005-0000-0000-000092070000}"/>
    <cellStyle name="Saída 3 2 2 17" xfId="1270" xr:uid="{00000000-0005-0000-0000-000093070000}"/>
    <cellStyle name="Saída 3 2 2 17 2" xfId="2058" xr:uid="{00000000-0005-0000-0000-000094070000}"/>
    <cellStyle name="Saída 3 2 2 17 3" xfId="2538" xr:uid="{00000000-0005-0000-0000-000095070000}"/>
    <cellStyle name="Saída 3 2 2 17 4" xfId="2804" xr:uid="{00000000-0005-0000-0000-000096070000}"/>
    <cellStyle name="Saída 3 2 2 18" xfId="1150" xr:uid="{00000000-0005-0000-0000-000097070000}"/>
    <cellStyle name="Saída 3 2 2 18 2" xfId="1938" xr:uid="{00000000-0005-0000-0000-000098070000}"/>
    <cellStyle name="Saída 3 2 2 18 3" xfId="2441" xr:uid="{00000000-0005-0000-0000-000099070000}"/>
    <cellStyle name="Saída 3 2 2 18 4" xfId="2214" xr:uid="{00000000-0005-0000-0000-00009A070000}"/>
    <cellStyle name="Saída 3 2 2 19" xfId="1437" xr:uid="{00000000-0005-0000-0000-00009B070000}"/>
    <cellStyle name="Saída 3 2 2 19 2" xfId="2205" xr:uid="{00000000-0005-0000-0000-00009C070000}"/>
    <cellStyle name="Saída 3 2 2 19 3" xfId="2679" xr:uid="{00000000-0005-0000-0000-00009D070000}"/>
    <cellStyle name="Saída 3 2 2 19 4" xfId="2954" xr:uid="{00000000-0005-0000-0000-00009E070000}"/>
    <cellStyle name="Saída 3 2 2 2" xfId="1055" xr:uid="{00000000-0005-0000-0000-00009F070000}"/>
    <cellStyle name="Saída 3 2 2 2 2" xfId="1851" xr:uid="{00000000-0005-0000-0000-0000A0070000}"/>
    <cellStyle name="Saída 3 2 2 2 3" xfId="2374" xr:uid="{00000000-0005-0000-0000-0000A1070000}"/>
    <cellStyle name="Saída 3 2 2 2 4" xfId="2378" xr:uid="{00000000-0005-0000-0000-0000A2070000}"/>
    <cellStyle name="Saída 3 2 2 20" xfId="691" xr:uid="{00000000-0005-0000-0000-0000A3070000}"/>
    <cellStyle name="Saída 3 2 2 21" xfId="1529" xr:uid="{00000000-0005-0000-0000-0000A4070000}"/>
    <cellStyle name="Saída 3 2 2 22" xfId="716" xr:uid="{00000000-0005-0000-0000-0000A5070000}"/>
    <cellStyle name="Saída 3 2 2 23" xfId="1520" xr:uid="{00000000-0005-0000-0000-0000A6070000}"/>
    <cellStyle name="Saída 3 2 2 3" xfId="1126" xr:uid="{00000000-0005-0000-0000-0000A7070000}"/>
    <cellStyle name="Saída 3 2 2 3 2" xfId="1914" xr:uid="{00000000-0005-0000-0000-0000A8070000}"/>
    <cellStyle name="Saída 3 2 2 3 3" xfId="2422" xr:uid="{00000000-0005-0000-0000-0000A9070000}"/>
    <cellStyle name="Saída 3 2 2 3 4" xfId="479" xr:uid="{00000000-0005-0000-0000-0000AA070000}"/>
    <cellStyle name="Saída 3 2 2 4" xfId="1068" xr:uid="{00000000-0005-0000-0000-0000AB070000}"/>
    <cellStyle name="Saída 3 2 2 4 2" xfId="1864" xr:uid="{00000000-0005-0000-0000-0000AC070000}"/>
    <cellStyle name="Saída 3 2 2 4 3" xfId="2386" xr:uid="{00000000-0005-0000-0000-0000AD070000}"/>
    <cellStyle name="Saída 3 2 2 4 4" xfId="2559" xr:uid="{00000000-0005-0000-0000-0000AE070000}"/>
    <cellStyle name="Saída 3 2 2 5" xfId="792" xr:uid="{00000000-0005-0000-0000-0000AF070000}"/>
    <cellStyle name="Saída 3 2 2 5 2" xfId="1616" xr:uid="{00000000-0005-0000-0000-0000B0070000}"/>
    <cellStyle name="Saída 3 2 2 5 3" xfId="562" xr:uid="{00000000-0005-0000-0000-0000B1070000}"/>
    <cellStyle name="Saída 3 2 2 5 4" xfId="2300" xr:uid="{00000000-0005-0000-0000-0000B2070000}"/>
    <cellStyle name="Saída 3 2 2 6" xfId="1186" xr:uid="{00000000-0005-0000-0000-0000B3070000}"/>
    <cellStyle name="Saída 3 2 2 6 2" xfId="1974" xr:uid="{00000000-0005-0000-0000-0000B4070000}"/>
    <cellStyle name="Saída 3 2 2 6 3" xfId="2470" xr:uid="{00000000-0005-0000-0000-0000B5070000}"/>
    <cellStyle name="Saída 3 2 2 6 4" xfId="2732" xr:uid="{00000000-0005-0000-0000-0000B6070000}"/>
    <cellStyle name="Saída 3 2 2 7" xfId="881" xr:uid="{00000000-0005-0000-0000-0000B7070000}"/>
    <cellStyle name="Saída 3 2 2 7 2" xfId="1686" xr:uid="{00000000-0005-0000-0000-0000B8070000}"/>
    <cellStyle name="Saída 3 2 2 7 3" xfId="2264" xr:uid="{00000000-0005-0000-0000-0000B9070000}"/>
    <cellStyle name="Saída 3 2 2 7 4" xfId="2506" xr:uid="{00000000-0005-0000-0000-0000BA070000}"/>
    <cellStyle name="Saída 3 2 2 8" xfId="1248" xr:uid="{00000000-0005-0000-0000-0000BB070000}"/>
    <cellStyle name="Saída 3 2 2 8 2" xfId="2036" xr:uid="{00000000-0005-0000-0000-0000BC070000}"/>
    <cellStyle name="Saída 3 2 2 8 3" xfId="2520" xr:uid="{00000000-0005-0000-0000-0000BD070000}"/>
    <cellStyle name="Saída 3 2 2 8 4" xfId="2785" xr:uid="{00000000-0005-0000-0000-0000BE070000}"/>
    <cellStyle name="Saída 3 2 2 9" xfId="751" xr:uid="{00000000-0005-0000-0000-0000BF070000}"/>
    <cellStyle name="Saída 3 2 2 9 2" xfId="1575" xr:uid="{00000000-0005-0000-0000-0000C0070000}"/>
    <cellStyle name="Saída 3 2 2 9 3" xfId="621" xr:uid="{00000000-0005-0000-0000-0000C1070000}"/>
    <cellStyle name="Saída 3 2 2 9 4" xfId="2459" xr:uid="{00000000-0005-0000-0000-0000C2070000}"/>
    <cellStyle name="Saída 3 2 3" xfId="329" xr:uid="{00000000-0005-0000-0000-0000C3070000}"/>
    <cellStyle name="Saída 3 2 3 10" xfId="1108" xr:uid="{00000000-0005-0000-0000-0000C4070000}"/>
    <cellStyle name="Saída 3 2 3 10 2" xfId="1896" xr:uid="{00000000-0005-0000-0000-0000C5070000}"/>
    <cellStyle name="Saída 3 2 3 10 3" xfId="2409" xr:uid="{00000000-0005-0000-0000-0000C6070000}"/>
    <cellStyle name="Saída 3 2 3 10 4" xfId="495" xr:uid="{00000000-0005-0000-0000-0000C7070000}"/>
    <cellStyle name="Saída 3 2 3 11" xfId="1243" xr:uid="{00000000-0005-0000-0000-0000C8070000}"/>
    <cellStyle name="Saída 3 2 3 11 2" xfId="2031" xr:uid="{00000000-0005-0000-0000-0000C9070000}"/>
    <cellStyle name="Saída 3 2 3 11 3" xfId="2515" xr:uid="{00000000-0005-0000-0000-0000CA070000}"/>
    <cellStyle name="Saída 3 2 3 11 4" xfId="2780" xr:uid="{00000000-0005-0000-0000-0000CB070000}"/>
    <cellStyle name="Saída 3 2 3 12" xfId="965" xr:uid="{00000000-0005-0000-0000-0000CC070000}"/>
    <cellStyle name="Saída 3 2 3 12 2" xfId="1763" xr:uid="{00000000-0005-0000-0000-0000CD070000}"/>
    <cellStyle name="Saída 3 2 3 12 3" xfId="2313" xr:uid="{00000000-0005-0000-0000-0000CE070000}"/>
    <cellStyle name="Saída 3 2 3 12 4" xfId="2235" xr:uid="{00000000-0005-0000-0000-0000CF070000}"/>
    <cellStyle name="Saída 3 2 3 13" xfId="863" xr:uid="{00000000-0005-0000-0000-0000D0070000}"/>
    <cellStyle name="Saída 3 2 3 13 2" xfId="1669" xr:uid="{00000000-0005-0000-0000-0000D1070000}"/>
    <cellStyle name="Saída 3 2 3 13 3" xfId="2252" xr:uid="{00000000-0005-0000-0000-0000D2070000}"/>
    <cellStyle name="Saída 3 2 3 13 4" xfId="2521" xr:uid="{00000000-0005-0000-0000-0000D3070000}"/>
    <cellStyle name="Saída 3 2 3 14" xfId="787" xr:uid="{00000000-0005-0000-0000-0000D4070000}"/>
    <cellStyle name="Saída 3 2 3 14 2" xfId="1611" xr:uid="{00000000-0005-0000-0000-0000D5070000}"/>
    <cellStyle name="Saída 3 2 3 14 3" xfId="558" xr:uid="{00000000-0005-0000-0000-0000D6070000}"/>
    <cellStyle name="Saída 3 2 3 14 4" xfId="2399" xr:uid="{00000000-0005-0000-0000-0000D7070000}"/>
    <cellStyle name="Saída 3 2 3 15" xfId="1013" xr:uid="{00000000-0005-0000-0000-0000D8070000}"/>
    <cellStyle name="Saída 3 2 3 15 2" xfId="1811" xr:uid="{00000000-0005-0000-0000-0000D9070000}"/>
    <cellStyle name="Saída 3 2 3 15 3" xfId="2346" xr:uid="{00000000-0005-0000-0000-0000DA070000}"/>
    <cellStyle name="Saída 3 2 3 15 4" xfId="2595" xr:uid="{00000000-0005-0000-0000-0000DB070000}"/>
    <cellStyle name="Saída 3 2 3 16" xfId="1198" xr:uid="{00000000-0005-0000-0000-0000DC070000}"/>
    <cellStyle name="Saída 3 2 3 16 2" xfId="1986" xr:uid="{00000000-0005-0000-0000-0000DD070000}"/>
    <cellStyle name="Saída 3 2 3 16 3" xfId="2479" xr:uid="{00000000-0005-0000-0000-0000DE070000}"/>
    <cellStyle name="Saída 3 2 3 16 4" xfId="2742" xr:uid="{00000000-0005-0000-0000-0000DF070000}"/>
    <cellStyle name="Saída 3 2 3 17" xfId="1363" xr:uid="{00000000-0005-0000-0000-0000E0070000}"/>
    <cellStyle name="Saída 3 2 3 17 2" xfId="2151" xr:uid="{00000000-0005-0000-0000-0000E1070000}"/>
    <cellStyle name="Saída 3 2 3 17 3" xfId="2619" xr:uid="{00000000-0005-0000-0000-0000E2070000}"/>
    <cellStyle name="Saída 3 2 3 17 4" xfId="2892" xr:uid="{00000000-0005-0000-0000-0000E3070000}"/>
    <cellStyle name="Saída 3 2 3 18" xfId="1257" xr:uid="{00000000-0005-0000-0000-0000E4070000}"/>
    <cellStyle name="Saída 3 2 3 18 2" xfId="2045" xr:uid="{00000000-0005-0000-0000-0000E5070000}"/>
    <cellStyle name="Saída 3 2 3 18 3" xfId="2527" xr:uid="{00000000-0005-0000-0000-0000E6070000}"/>
    <cellStyle name="Saída 3 2 3 18 4" xfId="2794" xr:uid="{00000000-0005-0000-0000-0000E7070000}"/>
    <cellStyle name="Saída 3 2 3 19" xfId="1466" xr:uid="{00000000-0005-0000-0000-0000E8070000}"/>
    <cellStyle name="Saída 3 2 3 19 2" xfId="2220" xr:uid="{00000000-0005-0000-0000-0000E9070000}"/>
    <cellStyle name="Saída 3 2 3 19 3" xfId="2692" xr:uid="{00000000-0005-0000-0000-0000EA070000}"/>
    <cellStyle name="Saída 3 2 3 19 4" xfId="2960" xr:uid="{00000000-0005-0000-0000-0000EB070000}"/>
    <cellStyle name="Saída 3 2 3 2" xfId="987" xr:uid="{00000000-0005-0000-0000-0000EC070000}"/>
    <cellStyle name="Saída 3 2 3 2 2" xfId="1785" xr:uid="{00000000-0005-0000-0000-0000ED070000}"/>
    <cellStyle name="Saída 3 2 3 2 3" xfId="2327" xr:uid="{00000000-0005-0000-0000-0000EE070000}"/>
    <cellStyle name="Saída 3 2 3 2 4" xfId="2342" xr:uid="{00000000-0005-0000-0000-0000EF070000}"/>
    <cellStyle name="Saída 3 2 3 20" xfId="626" xr:uid="{00000000-0005-0000-0000-0000F0070000}"/>
    <cellStyle name="Saída 3 2 3 21" xfId="1489" xr:uid="{00000000-0005-0000-0000-0000F1070000}"/>
    <cellStyle name="Saída 3 2 3 22" xfId="459" xr:uid="{00000000-0005-0000-0000-0000F2070000}"/>
    <cellStyle name="Saída 3 2 3 23" xfId="2193" xr:uid="{00000000-0005-0000-0000-0000F3070000}"/>
    <cellStyle name="Saída 3 2 3 3" xfId="758" xr:uid="{00000000-0005-0000-0000-0000F4070000}"/>
    <cellStyle name="Saída 3 2 3 3 2" xfId="1582" xr:uid="{00000000-0005-0000-0000-0000F5070000}"/>
    <cellStyle name="Saída 3 2 3 3 3" xfId="544" xr:uid="{00000000-0005-0000-0000-0000F6070000}"/>
    <cellStyle name="Saída 3 2 3 3 4" xfId="615" xr:uid="{00000000-0005-0000-0000-0000F7070000}"/>
    <cellStyle name="Saída 3 2 3 4" xfId="880" xr:uid="{00000000-0005-0000-0000-0000F8070000}"/>
    <cellStyle name="Saída 3 2 3 4 2" xfId="1685" xr:uid="{00000000-0005-0000-0000-0000F9070000}"/>
    <cellStyle name="Saída 3 2 3 4 3" xfId="2263" xr:uid="{00000000-0005-0000-0000-0000FA070000}"/>
    <cellStyle name="Saída 3 2 3 4 4" xfId="2440" xr:uid="{00000000-0005-0000-0000-0000FB070000}"/>
    <cellStyle name="Saída 3 2 3 5" xfId="1043" xr:uid="{00000000-0005-0000-0000-0000FC070000}"/>
    <cellStyle name="Saída 3 2 3 5 2" xfId="1839" xr:uid="{00000000-0005-0000-0000-0000FD070000}"/>
    <cellStyle name="Saída 3 2 3 5 3" xfId="2364" xr:uid="{00000000-0005-0000-0000-0000FE070000}"/>
    <cellStyle name="Saída 3 2 3 5 4" xfId="569" xr:uid="{00000000-0005-0000-0000-0000FF070000}"/>
    <cellStyle name="Saída 3 2 3 6" xfId="1121" xr:uid="{00000000-0005-0000-0000-000000080000}"/>
    <cellStyle name="Saída 3 2 3 6 2" xfId="1909" xr:uid="{00000000-0005-0000-0000-000001080000}"/>
    <cellStyle name="Saída 3 2 3 6 3" xfId="2417" xr:uid="{00000000-0005-0000-0000-000002080000}"/>
    <cellStyle name="Saída 3 2 3 6 4" xfId="484" xr:uid="{00000000-0005-0000-0000-000003080000}"/>
    <cellStyle name="Saída 3 2 3 7" xfId="925" xr:uid="{00000000-0005-0000-0000-000004080000}"/>
    <cellStyle name="Saída 3 2 3 7 2" xfId="1728" xr:uid="{00000000-0005-0000-0000-000005080000}"/>
    <cellStyle name="Saída 3 2 3 7 3" xfId="2290" xr:uid="{00000000-0005-0000-0000-000006080000}"/>
    <cellStyle name="Saída 3 2 3 7 4" xfId="2377" xr:uid="{00000000-0005-0000-0000-000007080000}"/>
    <cellStyle name="Saída 3 2 3 8" xfId="1034" xr:uid="{00000000-0005-0000-0000-000008080000}"/>
    <cellStyle name="Saída 3 2 3 8 2" xfId="1831" xr:uid="{00000000-0005-0000-0000-000009080000}"/>
    <cellStyle name="Saída 3 2 3 8 3" xfId="2358" xr:uid="{00000000-0005-0000-0000-00000A080000}"/>
    <cellStyle name="Saída 3 2 3 8 4" xfId="2315" xr:uid="{00000000-0005-0000-0000-00000B080000}"/>
    <cellStyle name="Saída 3 2 3 9" xfId="876" xr:uid="{00000000-0005-0000-0000-00000C080000}"/>
    <cellStyle name="Saída 3 2 3 9 2" xfId="1681" xr:uid="{00000000-0005-0000-0000-00000D080000}"/>
    <cellStyle name="Saída 3 2 3 9 3" xfId="2260" xr:uid="{00000000-0005-0000-0000-00000E080000}"/>
    <cellStyle name="Saída 3 2 3 9 4" xfId="2554" xr:uid="{00000000-0005-0000-0000-00000F080000}"/>
    <cellStyle name="Saída 3 2 4" xfId="1407" xr:uid="{00000000-0005-0000-0000-000010080000}"/>
    <cellStyle name="Saída 3 2 4 2" xfId="2190" xr:uid="{00000000-0005-0000-0000-000011080000}"/>
    <cellStyle name="Saída 3 2 4 3" xfId="2657" xr:uid="{00000000-0005-0000-0000-000012080000}"/>
    <cellStyle name="Saída 3 2 4 4" xfId="2932" xr:uid="{00000000-0005-0000-0000-000013080000}"/>
    <cellStyle name="Saída 3 3" xfId="415" xr:uid="{00000000-0005-0000-0000-000014080000}"/>
    <cellStyle name="Saída 3 3 10" xfId="1095" xr:uid="{00000000-0005-0000-0000-000015080000}"/>
    <cellStyle name="Saída 3 3 10 2" xfId="1883" xr:uid="{00000000-0005-0000-0000-000016080000}"/>
    <cellStyle name="Saída 3 3 10 3" xfId="2400" xr:uid="{00000000-0005-0000-0000-000017080000}"/>
    <cellStyle name="Saída 3 3 10 4" xfId="506" xr:uid="{00000000-0005-0000-0000-000018080000}"/>
    <cellStyle name="Saída 3 3 11" xfId="1300" xr:uid="{00000000-0005-0000-0000-000019080000}"/>
    <cellStyle name="Saída 3 3 11 2" xfId="2088" xr:uid="{00000000-0005-0000-0000-00001A080000}"/>
    <cellStyle name="Saída 3 3 11 3" xfId="2562" xr:uid="{00000000-0005-0000-0000-00001B080000}"/>
    <cellStyle name="Saída 3 3 11 4" xfId="2832" xr:uid="{00000000-0005-0000-0000-00001C080000}"/>
    <cellStyle name="Saída 3 3 12" xfId="1233" xr:uid="{00000000-0005-0000-0000-00001D080000}"/>
    <cellStyle name="Saída 3 3 12 2" xfId="2021" xr:uid="{00000000-0005-0000-0000-00001E080000}"/>
    <cellStyle name="Saída 3 3 12 3" xfId="2505" xr:uid="{00000000-0005-0000-0000-00001F080000}"/>
    <cellStyle name="Saída 3 3 12 4" xfId="2770" xr:uid="{00000000-0005-0000-0000-000020080000}"/>
    <cellStyle name="Saída 3 3 13" xfId="1321" xr:uid="{00000000-0005-0000-0000-000021080000}"/>
    <cellStyle name="Saída 3 3 13 2" xfId="2109" xr:uid="{00000000-0005-0000-0000-000022080000}"/>
    <cellStyle name="Saída 3 3 13 3" xfId="2580" xr:uid="{00000000-0005-0000-0000-000023080000}"/>
    <cellStyle name="Saída 3 3 13 4" xfId="2851" xr:uid="{00000000-0005-0000-0000-000024080000}"/>
    <cellStyle name="Saída 3 3 14" xfId="1340" xr:uid="{00000000-0005-0000-0000-000025080000}"/>
    <cellStyle name="Saída 3 3 14 2" xfId="2128" xr:uid="{00000000-0005-0000-0000-000026080000}"/>
    <cellStyle name="Saída 3 3 14 3" xfId="2598" xr:uid="{00000000-0005-0000-0000-000027080000}"/>
    <cellStyle name="Saída 3 3 14 4" xfId="2869" xr:uid="{00000000-0005-0000-0000-000028080000}"/>
    <cellStyle name="Saída 3 3 15" xfId="1361" xr:uid="{00000000-0005-0000-0000-000029080000}"/>
    <cellStyle name="Saída 3 3 15 2" xfId="2149" xr:uid="{00000000-0005-0000-0000-00002A080000}"/>
    <cellStyle name="Saída 3 3 15 3" xfId="2617" xr:uid="{00000000-0005-0000-0000-00002B080000}"/>
    <cellStyle name="Saída 3 3 15 4" xfId="2890" xr:uid="{00000000-0005-0000-0000-00002C080000}"/>
    <cellStyle name="Saída 3 3 16" xfId="1287" xr:uid="{00000000-0005-0000-0000-00002D080000}"/>
    <cellStyle name="Saída 3 3 16 2" xfId="2075" xr:uid="{00000000-0005-0000-0000-00002E080000}"/>
    <cellStyle name="Saída 3 3 16 3" xfId="2552" xr:uid="{00000000-0005-0000-0000-00002F080000}"/>
    <cellStyle name="Saída 3 3 16 4" xfId="2819" xr:uid="{00000000-0005-0000-0000-000030080000}"/>
    <cellStyle name="Saída 3 3 17" xfId="1090" xr:uid="{00000000-0005-0000-0000-000031080000}"/>
    <cellStyle name="Saída 3 3 17 2" xfId="1878" xr:uid="{00000000-0005-0000-0000-000032080000}"/>
    <cellStyle name="Saída 3 3 17 3" xfId="2397" xr:uid="{00000000-0005-0000-0000-000033080000}"/>
    <cellStyle name="Saída 3 3 17 4" xfId="1496" xr:uid="{00000000-0005-0000-0000-000034080000}"/>
    <cellStyle name="Saída 3 3 18" xfId="1364" xr:uid="{00000000-0005-0000-0000-000035080000}"/>
    <cellStyle name="Saída 3 3 18 2" xfId="2152" xr:uid="{00000000-0005-0000-0000-000036080000}"/>
    <cellStyle name="Saída 3 3 18 3" xfId="2620" xr:uid="{00000000-0005-0000-0000-000037080000}"/>
    <cellStyle name="Saída 3 3 18 4" xfId="2893" xr:uid="{00000000-0005-0000-0000-000038080000}"/>
    <cellStyle name="Saída 3 3 19" xfId="1436" xr:uid="{00000000-0005-0000-0000-000039080000}"/>
    <cellStyle name="Saída 3 3 19 2" xfId="2204" xr:uid="{00000000-0005-0000-0000-00003A080000}"/>
    <cellStyle name="Saída 3 3 19 3" xfId="2678" xr:uid="{00000000-0005-0000-0000-00003B080000}"/>
    <cellStyle name="Saída 3 3 19 4" xfId="2953" xr:uid="{00000000-0005-0000-0000-00003C080000}"/>
    <cellStyle name="Saída 3 3 2" xfId="1054" xr:uid="{00000000-0005-0000-0000-00003D080000}"/>
    <cellStyle name="Saída 3 3 2 2" xfId="1850" xr:uid="{00000000-0005-0000-0000-00003E080000}"/>
    <cellStyle name="Saída 3 3 2 3" xfId="2373" xr:uid="{00000000-0005-0000-0000-00003F080000}"/>
    <cellStyle name="Saída 3 3 2 4" xfId="2256" xr:uid="{00000000-0005-0000-0000-000040080000}"/>
    <cellStyle name="Saída 3 3 20" xfId="690" xr:uid="{00000000-0005-0000-0000-000041080000}"/>
    <cellStyle name="Saída 3 3 21" xfId="1528" xr:uid="{00000000-0005-0000-0000-000042080000}"/>
    <cellStyle name="Saída 3 3 22" xfId="533" xr:uid="{00000000-0005-0000-0000-000043080000}"/>
    <cellStyle name="Saída 3 3 23" xfId="678" xr:uid="{00000000-0005-0000-0000-000044080000}"/>
    <cellStyle name="Saída 3 3 3" xfId="1125" xr:uid="{00000000-0005-0000-0000-000045080000}"/>
    <cellStyle name="Saída 3 3 3 2" xfId="1913" xr:uid="{00000000-0005-0000-0000-000046080000}"/>
    <cellStyle name="Saída 3 3 3 3" xfId="2421" xr:uid="{00000000-0005-0000-0000-000047080000}"/>
    <cellStyle name="Saída 3 3 3 4" xfId="480" xr:uid="{00000000-0005-0000-0000-000048080000}"/>
    <cellStyle name="Saída 3 3 4" xfId="1074" xr:uid="{00000000-0005-0000-0000-000049080000}"/>
    <cellStyle name="Saída 3 3 4 2" xfId="1869" xr:uid="{00000000-0005-0000-0000-00004A080000}"/>
    <cellStyle name="Saída 3 3 4 3" xfId="2389" xr:uid="{00000000-0005-0000-0000-00004B080000}"/>
    <cellStyle name="Saída 3 3 4 4" xfId="1492" xr:uid="{00000000-0005-0000-0000-00004C080000}"/>
    <cellStyle name="Saída 3 3 5" xfId="1097" xr:uid="{00000000-0005-0000-0000-00004D080000}"/>
    <cellStyle name="Saída 3 3 5 2" xfId="1885" xr:uid="{00000000-0005-0000-0000-00004E080000}"/>
    <cellStyle name="Saída 3 3 5 3" xfId="2402" xr:uid="{00000000-0005-0000-0000-00004F080000}"/>
    <cellStyle name="Saída 3 3 5 4" xfId="504" xr:uid="{00000000-0005-0000-0000-000050080000}"/>
    <cellStyle name="Saída 3 3 6" xfId="1191" xr:uid="{00000000-0005-0000-0000-000051080000}"/>
    <cellStyle name="Saída 3 3 6 2" xfId="1979" xr:uid="{00000000-0005-0000-0000-000052080000}"/>
    <cellStyle name="Saída 3 3 6 3" xfId="2474" xr:uid="{00000000-0005-0000-0000-000053080000}"/>
    <cellStyle name="Saída 3 3 6 4" xfId="2737" xr:uid="{00000000-0005-0000-0000-000054080000}"/>
    <cellStyle name="Saída 3 3 7" xfId="915" xr:uid="{00000000-0005-0000-0000-000055080000}"/>
    <cellStyle name="Saída 3 3 7 2" xfId="1718" xr:uid="{00000000-0005-0000-0000-000056080000}"/>
    <cellStyle name="Saída 3 3 7 3" xfId="2282" xr:uid="{00000000-0005-0000-0000-000057080000}"/>
    <cellStyle name="Saída 3 3 7 4" xfId="512" xr:uid="{00000000-0005-0000-0000-000058080000}"/>
    <cellStyle name="Saída 3 3 8" xfId="1247" xr:uid="{00000000-0005-0000-0000-000059080000}"/>
    <cellStyle name="Saída 3 3 8 2" xfId="2035" xr:uid="{00000000-0005-0000-0000-00005A080000}"/>
    <cellStyle name="Saída 3 3 8 3" xfId="2519" xr:uid="{00000000-0005-0000-0000-00005B080000}"/>
    <cellStyle name="Saída 3 3 8 4" xfId="2784" xr:uid="{00000000-0005-0000-0000-00005C080000}"/>
    <cellStyle name="Saída 3 3 9" xfId="1162" xr:uid="{00000000-0005-0000-0000-00005D080000}"/>
    <cellStyle name="Saída 3 3 9 2" xfId="1950" xr:uid="{00000000-0005-0000-0000-00005E080000}"/>
    <cellStyle name="Saída 3 3 9 3" xfId="2451" xr:uid="{00000000-0005-0000-0000-00005F080000}"/>
    <cellStyle name="Saída 3 3 9 4" xfId="2709" xr:uid="{00000000-0005-0000-0000-000060080000}"/>
    <cellStyle name="Saída 3 4" xfId="328" xr:uid="{00000000-0005-0000-0000-000061080000}"/>
    <cellStyle name="Saída 3 4 10" xfId="732" xr:uid="{00000000-0005-0000-0000-000062080000}"/>
    <cellStyle name="Saída 3 4 10 2" xfId="1556" xr:uid="{00000000-0005-0000-0000-000063080000}"/>
    <cellStyle name="Saída 3 4 10 3" xfId="616" xr:uid="{00000000-0005-0000-0000-000064080000}"/>
    <cellStyle name="Saída 3 4 10 4" xfId="1522" xr:uid="{00000000-0005-0000-0000-000065080000}"/>
    <cellStyle name="Saída 3 4 11" xfId="1259" xr:uid="{00000000-0005-0000-0000-000066080000}"/>
    <cellStyle name="Saída 3 4 11 2" xfId="2047" xr:uid="{00000000-0005-0000-0000-000067080000}"/>
    <cellStyle name="Saída 3 4 11 3" xfId="2529" xr:uid="{00000000-0005-0000-0000-000068080000}"/>
    <cellStyle name="Saída 3 4 11 4" xfId="2795" xr:uid="{00000000-0005-0000-0000-000069080000}"/>
    <cellStyle name="Saída 3 4 12" xfId="1172" xr:uid="{00000000-0005-0000-0000-00006A080000}"/>
    <cellStyle name="Saída 3 4 12 2" xfId="1960" xr:uid="{00000000-0005-0000-0000-00006B080000}"/>
    <cellStyle name="Saída 3 4 12 3" xfId="2458" xr:uid="{00000000-0005-0000-0000-00006C080000}"/>
    <cellStyle name="Saída 3 4 12 4" xfId="2718" xr:uid="{00000000-0005-0000-0000-00006D080000}"/>
    <cellStyle name="Saída 3 4 13" xfId="1084" xr:uid="{00000000-0005-0000-0000-00006E080000}"/>
    <cellStyle name="Saída 3 4 13 2" xfId="1876" xr:uid="{00000000-0005-0000-0000-00006F080000}"/>
    <cellStyle name="Saída 3 4 13 3" xfId="2393" xr:uid="{00000000-0005-0000-0000-000070080000}"/>
    <cellStyle name="Saída 3 4 13 4" xfId="1701" xr:uid="{00000000-0005-0000-0000-000071080000}"/>
    <cellStyle name="Saída 3 4 14" xfId="1318" xr:uid="{00000000-0005-0000-0000-000072080000}"/>
    <cellStyle name="Saída 3 4 14 2" xfId="2106" xr:uid="{00000000-0005-0000-0000-000073080000}"/>
    <cellStyle name="Saída 3 4 14 3" xfId="2578" xr:uid="{00000000-0005-0000-0000-000074080000}"/>
    <cellStyle name="Saída 3 4 14 4" xfId="2849" xr:uid="{00000000-0005-0000-0000-000075080000}"/>
    <cellStyle name="Saída 3 4 15" xfId="1338" xr:uid="{00000000-0005-0000-0000-000076080000}"/>
    <cellStyle name="Saída 3 4 15 2" xfId="2126" xr:uid="{00000000-0005-0000-0000-000077080000}"/>
    <cellStyle name="Saída 3 4 15 3" xfId="2596" xr:uid="{00000000-0005-0000-0000-000078080000}"/>
    <cellStyle name="Saída 3 4 15 4" xfId="2867" xr:uid="{00000000-0005-0000-0000-000079080000}"/>
    <cellStyle name="Saída 3 4 16" xfId="1210" xr:uid="{00000000-0005-0000-0000-00007A080000}"/>
    <cellStyle name="Saída 3 4 16 2" xfId="1998" xr:uid="{00000000-0005-0000-0000-00007B080000}"/>
    <cellStyle name="Saída 3 4 16 3" xfId="2488" xr:uid="{00000000-0005-0000-0000-00007C080000}"/>
    <cellStyle name="Saída 3 4 16 4" xfId="2752" xr:uid="{00000000-0005-0000-0000-00007D080000}"/>
    <cellStyle name="Saída 3 4 17" xfId="826" xr:uid="{00000000-0005-0000-0000-00007E080000}"/>
    <cellStyle name="Saída 3 4 17 2" xfId="1650" xr:uid="{00000000-0005-0000-0000-00007F080000}"/>
    <cellStyle name="Saída 3 4 17 3" xfId="2240" xr:uid="{00000000-0005-0000-0000-000080080000}"/>
    <cellStyle name="Saída 3 4 17 4" xfId="2522" xr:uid="{00000000-0005-0000-0000-000081080000}"/>
    <cellStyle name="Saída 3 4 18" xfId="1391" xr:uid="{00000000-0005-0000-0000-000082080000}"/>
    <cellStyle name="Saída 3 4 18 2" xfId="2179" xr:uid="{00000000-0005-0000-0000-000083080000}"/>
    <cellStyle name="Saída 3 4 18 3" xfId="2643" xr:uid="{00000000-0005-0000-0000-000084080000}"/>
    <cellStyle name="Saída 3 4 18 4" xfId="2918" xr:uid="{00000000-0005-0000-0000-000085080000}"/>
    <cellStyle name="Saída 3 4 19" xfId="1430" xr:uid="{00000000-0005-0000-0000-000086080000}"/>
    <cellStyle name="Saída 3 4 19 2" xfId="2199" xr:uid="{00000000-0005-0000-0000-000087080000}"/>
    <cellStyle name="Saída 3 4 19 3" xfId="2673" xr:uid="{00000000-0005-0000-0000-000088080000}"/>
    <cellStyle name="Saída 3 4 19 4" xfId="2949" xr:uid="{00000000-0005-0000-0000-000089080000}"/>
    <cellStyle name="Saída 3 4 2" xfId="986" xr:uid="{00000000-0005-0000-0000-00008A080000}"/>
    <cellStyle name="Saída 3 4 2 2" xfId="1784" xr:uid="{00000000-0005-0000-0000-00008B080000}"/>
    <cellStyle name="Saída 3 4 2 3" xfId="2326" xr:uid="{00000000-0005-0000-0000-00008C080000}"/>
    <cellStyle name="Saída 3 4 2 4" xfId="718" xr:uid="{00000000-0005-0000-0000-00008D080000}"/>
    <cellStyle name="Saída 3 4 20" xfId="625" xr:uid="{00000000-0005-0000-0000-00008E080000}"/>
    <cellStyle name="Saída 3 4 21" xfId="1488" xr:uid="{00000000-0005-0000-0000-00008F080000}"/>
    <cellStyle name="Saída 3 4 22" xfId="1517" xr:uid="{00000000-0005-0000-0000-000090080000}"/>
    <cellStyle name="Saída 3 4 23" xfId="2653" xr:uid="{00000000-0005-0000-0000-000091080000}"/>
    <cellStyle name="Saída 3 4 3" xfId="759" xr:uid="{00000000-0005-0000-0000-000092080000}"/>
    <cellStyle name="Saída 3 4 3 2" xfId="1583" xr:uid="{00000000-0005-0000-0000-000093080000}"/>
    <cellStyle name="Saída 3 4 3 3" xfId="545" xr:uid="{00000000-0005-0000-0000-000094080000}"/>
    <cellStyle name="Saída 3 4 3 4" xfId="2343" xr:uid="{00000000-0005-0000-0000-000095080000}"/>
    <cellStyle name="Saída 3 4 4" xfId="978" xr:uid="{00000000-0005-0000-0000-000096080000}"/>
    <cellStyle name="Saída 3 4 4 2" xfId="1776" xr:uid="{00000000-0005-0000-0000-000097080000}"/>
    <cellStyle name="Saída 3 4 4 3" xfId="2319" xr:uid="{00000000-0005-0000-0000-000098080000}"/>
    <cellStyle name="Saída 3 4 4 4" xfId="2299" xr:uid="{00000000-0005-0000-0000-000099080000}"/>
    <cellStyle name="Saída 3 4 5" xfId="921" xr:uid="{00000000-0005-0000-0000-00009A080000}"/>
    <cellStyle name="Saída 3 4 5 2" xfId="1724" xr:uid="{00000000-0005-0000-0000-00009B080000}"/>
    <cellStyle name="Saída 3 4 5 3" xfId="2287" xr:uid="{00000000-0005-0000-0000-00009C080000}"/>
    <cellStyle name="Saída 3 4 5 4" xfId="511" xr:uid="{00000000-0005-0000-0000-00009D080000}"/>
    <cellStyle name="Saída 3 4 6" xfId="1138" xr:uid="{00000000-0005-0000-0000-00009E080000}"/>
    <cellStyle name="Saída 3 4 6 2" xfId="1926" xr:uid="{00000000-0005-0000-0000-00009F080000}"/>
    <cellStyle name="Saída 3 4 6 3" xfId="2431" xr:uid="{00000000-0005-0000-0000-0000A0080000}"/>
    <cellStyle name="Saída 3 4 6 4" xfId="1540" xr:uid="{00000000-0005-0000-0000-0000A1080000}"/>
    <cellStyle name="Saída 3 4 7" xfId="861" xr:uid="{00000000-0005-0000-0000-0000A2080000}"/>
    <cellStyle name="Saída 3 4 7 2" xfId="1667" xr:uid="{00000000-0005-0000-0000-0000A3080000}"/>
    <cellStyle name="Saída 3 4 7 3" xfId="2250" xr:uid="{00000000-0005-0000-0000-0000A4080000}"/>
    <cellStyle name="Saída 3 4 7 4" xfId="572" xr:uid="{00000000-0005-0000-0000-0000A5080000}"/>
    <cellStyle name="Saída 3 4 8" xfId="1223" xr:uid="{00000000-0005-0000-0000-0000A6080000}"/>
    <cellStyle name="Saída 3 4 8 2" xfId="2011" xr:uid="{00000000-0005-0000-0000-0000A7080000}"/>
    <cellStyle name="Saída 3 4 8 3" xfId="2496" xr:uid="{00000000-0005-0000-0000-0000A8080000}"/>
    <cellStyle name="Saída 3 4 8 4" xfId="2760" xr:uid="{00000000-0005-0000-0000-0000A9080000}"/>
    <cellStyle name="Saída 3 4 9" xfId="1193" xr:uid="{00000000-0005-0000-0000-0000AA080000}"/>
    <cellStyle name="Saída 3 4 9 2" xfId="1981" xr:uid="{00000000-0005-0000-0000-0000AB080000}"/>
    <cellStyle name="Saída 3 4 9 3" xfId="2475" xr:uid="{00000000-0005-0000-0000-0000AC080000}"/>
    <cellStyle name="Saída 3 4 9 4" xfId="2738" xr:uid="{00000000-0005-0000-0000-0000AD080000}"/>
    <cellStyle name="Saída 3 5" xfId="1417" xr:uid="{00000000-0005-0000-0000-0000AE080000}"/>
    <cellStyle name="Saída 3 5 2" xfId="2194" xr:uid="{00000000-0005-0000-0000-0000AF080000}"/>
    <cellStyle name="Saída 3 5 3" xfId="2664" xr:uid="{00000000-0005-0000-0000-0000B0080000}"/>
    <cellStyle name="Saída 3 5 4" xfId="2940" xr:uid="{00000000-0005-0000-0000-0000B1080000}"/>
    <cellStyle name="Separador de milhares 10" xfId="207" xr:uid="{00000000-0005-0000-0000-0000B2080000}"/>
    <cellStyle name="Separador de milhares 10 2" xfId="208" xr:uid="{00000000-0005-0000-0000-0000B3080000}"/>
    <cellStyle name="Separador de milhares 10 2 2" xfId="418" xr:uid="{00000000-0005-0000-0000-0000B4080000}"/>
    <cellStyle name="Separador de milhares 10 2 2 2" xfId="693" xr:uid="{00000000-0005-0000-0000-0000B5080000}"/>
    <cellStyle name="Separador de milhares 10 2 3" xfId="331" xr:uid="{00000000-0005-0000-0000-0000B6080000}"/>
    <cellStyle name="Separador de milhares 10 2 3 2" xfId="628" xr:uid="{00000000-0005-0000-0000-0000B7080000}"/>
    <cellStyle name="Separador de milhares 10 2 4" xfId="891" xr:uid="{00000000-0005-0000-0000-0000B8080000}"/>
    <cellStyle name="Separador de milhares 10 3" xfId="417" xr:uid="{00000000-0005-0000-0000-0000B9080000}"/>
    <cellStyle name="Separador de milhares 10 3 2" xfId="692" xr:uid="{00000000-0005-0000-0000-0000BA080000}"/>
    <cellStyle name="Separador de milhares 10 4" xfId="330" xr:uid="{00000000-0005-0000-0000-0000BB080000}"/>
    <cellStyle name="Separador de milhares 10 4 2" xfId="627" xr:uid="{00000000-0005-0000-0000-0000BC080000}"/>
    <cellStyle name="Separador de milhares 10 5" xfId="890" xr:uid="{00000000-0005-0000-0000-0000BD080000}"/>
    <cellStyle name="Separador de milhares 2" xfId="209" xr:uid="{00000000-0005-0000-0000-0000BE080000}"/>
    <cellStyle name="Separador de milhares 2 2" xfId="210" xr:uid="{00000000-0005-0000-0000-0000BF080000}"/>
    <cellStyle name="Separador de milhares 2 2 2" xfId="211" xr:uid="{00000000-0005-0000-0000-0000C0080000}"/>
    <cellStyle name="Separador de milhares 2 2 2 2" xfId="421" xr:uid="{00000000-0005-0000-0000-0000C1080000}"/>
    <cellStyle name="Separador de milhares 2 2 2 3" xfId="334" xr:uid="{00000000-0005-0000-0000-0000C2080000}"/>
    <cellStyle name="Separador de milhares 2 2 3" xfId="420" xr:uid="{00000000-0005-0000-0000-0000C3080000}"/>
    <cellStyle name="Separador de milhares 2 2 3 2" xfId="695" xr:uid="{00000000-0005-0000-0000-0000C4080000}"/>
    <cellStyle name="Separador de milhares 2 2 4" xfId="333" xr:uid="{00000000-0005-0000-0000-0000C5080000}"/>
    <cellStyle name="Separador de milhares 2 2 4 2" xfId="630" xr:uid="{00000000-0005-0000-0000-0000C6080000}"/>
    <cellStyle name="Separador de milhares 2 2 5" xfId="893" xr:uid="{00000000-0005-0000-0000-0000C7080000}"/>
    <cellStyle name="Separador de milhares 2 3" xfId="212" xr:uid="{00000000-0005-0000-0000-0000C8080000}"/>
    <cellStyle name="Separador de milhares 2 3 2" xfId="422" xr:uid="{00000000-0005-0000-0000-0000C9080000}"/>
    <cellStyle name="Separador de milhares 2 3 2 2" xfId="696" xr:uid="{00000000-0005-0000-0000-0000CA080000}"/>
    <cellStyle name="Separador de milhares 2 3 3" xfId="335" xr:uid="{00000000-0005-0000-0000-0000CB080000}"/>
    <cellStyle name="Separador de milhares 2 3 3 2" xfId="632" xr:uid="{00000000-0005-0000-0000-0000CC080000}"/>
    <cellStyle name="Separador de milhares 2 3 4" xfId="895" xr:uid="{00000000-0005-0000-0000-0000CD080000}"/>
    <cellStyle name="Separador de milhares 2 4" xfId="419" xr:uid="{00000000-0005-0000-0000-0000CE080000}"/>
    <cellStyle name="Separador de milhares 2 4 2" xfId="694" xr:uid="{00000000-0005-0000-0000-0000CF080000}"/>
    <cellStyle name="Separador de milhares 2 5" xfId="332" xr:uid="{00000000-0005-0000-0000-0000D0080000}"/>
    <cellStyle name="Separador de milhares 2 5 2" xfId="629" xr:uid="{00000000-0005-0000-0000-0000D1080000}"/>
    <cellStyle name="Separador de milhares 2 6" xfId="892" xr:uid="{00000000-0005-0000-0000-0000D2080000}"/>
    <cellStyle name="Separador de milhares 3" xfId="213" xr:uid="{00000000-0005-0000-0000-0000D3080000}"/>
    <cellStyle name="Separador de milhares 3 2" xfId="423" xr:uid="{00000000-0005-0000-0000-0000D4080000}"/>
    <cellStyle name="Separador de milhares 3 2 2" xfId="697" xr:uid="{00000000-0005-0000-0000-0000D5080000}"/>
    <cellStyle name="Separador de milhares 3 3" xfId="336" xr:uid="{00000000-0005-0000-0000-0000D6080000}"/>
    <cellStyle name="Separador de milhares 3 3 2" xfId="633" xr:uid="{00000000-0005-0000-0000-0000D7080000}"/>
    <cellStyle name="Separador de milhares 3 4" xfId="896" xr:uid="{00000000-0005-0000-0000-0000D8080000}"/>
    <cellStyle name="Separador de milhares 4" xfId="214" xr:uid="{00000000-0005-0000-0000-0000D9080000}"/>
    <cellStyle name="Separador de milhares 4 2" xfId="215" xr:uid="{00000000-0005-0000-0000-0000DA080000}"/>
    <cellStyle name="Separador de milhares 4 2 2" xfId="425" xr:uid="{00000000-0005-0000-0000-0000DB080000}"/>
    <cellStyle name="Separador de milhares 4 2 2 2" xfId="699" xr:uid="{00000000-0005-0000-0000-0000DC080000}"/>
    <cellStyle name="Separador de milhares 4 2 3" xfId="338" xr:uid="{00000000-0005-0000-0000-0000DD080000}"/>
    <cellStyle name="Separador de milhares 4 2 3 2" xfId="635" xr:uid="{00000000-0005-0000-0000-0000DE080000}"/>
    <cellStyle name="Separador de milhares 4 2 4" xfId="898" xr:uid="{00000000-0005-0000-0000-0000DF080000}"/>
    <cellStyle name="Separador de milhares 4 3" xfId="424" xr:uid="{00000000-0005-0000-0000-0000E0080000}"/>
    <cellStyle name="Separador de milhares 4 3 2" xfId="698" xr:uid="{00000000-0005-0000-0000-0000E1080000}"/>
    <cellStyle name="Separador de milhares 4 4" xfId="337" xr:uid="{00000000-0005-0000-0000-0000E2080000}"/>
    <cellStyle name="Separador de milhares 4 4 2" xfId="634" xr:uid="{00000000-0005-0000-0000-0000E3080000}"/>
    <cellStyle name="Separador de milhares 4 5" xfId="897" xr:uid="{00000000-0005-0000-0000-0000E4080000}"/>
    <cellStyle name="Separador de milhares 5" xfId="216" xr:uid="{00000000-0005-0000-0000-0000E5080000}"/>
    <cellStyle name="Separador de milhares 5 2" xfId="426" xr:uid="{00000000-0005-0000-0000-0000E6080000}"/>
    <cellStyle name="Separador de milhares 5 2 2" xfId="700" xr:uid="{00000000-0005-0000-0000-0000E7080000}"/>
    <cellStyle name="Separador de milhares 5 3" xfId="339" xr:uid="{00000000-0005-0000-0000-0000E8080000}"/>
    <cellStyle name="Separador de milhares 5 3 2" xfId="636" xr:uid="{00000000-0005-0000-0000-0000E9080000}"/>
    <cellStyle name="Separador de milhares 5 4" xfId="899" xr:uid="{00000000-0005-0000-0000-0000EA080000}"/>
    <cellStyle name="Texto de Aviso 2" xfId="217" xr:uid="{00000000-0005-0000-0000-0000EB080000}"/>
    <cellStyle name="Texto de Aviso 2 2" xfId="218" xr:uid="{00000000-0005-0000-0000-0000EC080000}"/>
    <cellStyle name="Texto de Aviso 3" xfId="219" xr:uid="{00000000-0005-0000-0000-0000ED080000}"/>
    <cellStyle name="Texto de Aviso 3 2" xfId="220" xr:uid="{00000000-0005-0000-0000-0000EE080000}"/>
    <cellStyle name="Texto Explicativo 2" xfId="221" xr:uid="{00000000-0005-0000-0000-0000EF080000}"/>
    <cellStyle name="Texto Explicativo 2 2" xfId="222" xr:uid="{00000000-0005-0000-0000-0000F0080000}"/>
    <cellStyle name="Texto Explicativo 3" xfId="223" xr:uid="{00000000-0005-0000-0000-0000F1080000}"/>
    <cellStyle name="Texto Explicativo 3 2" xfId="224" xr:uid="{00000000-0005-0000-0000-0000F2080000}"/>
    <cellStyle name="Título 1 2" xfId="225" xr:uid="{00000000-0005-0000-0000-0000F3080000}"/>
    <cellStyle name="Título 1 2 2" xfId="226" xr:uid="{00000000-0005-0000-0000-0000F4080000}"/>
    <cellStyle name="Título 1 3" xfId="227" xr:uid="{00000000-0005-0000-0000-0000F5080000}"/>
    <cellStyle name="Título 1 3 2" xfId="228" xr:uid="{00000000-0005-0000-0000-0000F6080000}"/>
    <cellStyle name="Título 2 2" xfId="229" xr:uid="{00000000-0005-0000-0000-0000F7080000}"/>
    <cellStyle name="Título 2 2 2" xfId="230" xr:uid="{00000000-0005-0000-0000-0000F8080000}"/>
    <cellStyle name="Título 2 3" xfId="231" xr:uid="{00000000-0005-0000-0000-0000F9080000}"/>
    <cellStyle name="Título 2 3 2" xfId="232" xr:uid="{00000000-0005-0000-0000-0000FA080000}"/>
    <cellStyle name="Título 3 2" xfId="233" xr:uid="{00000000-0005-0000-0000-0000FB080000}"/>
    <cellStyle name="Título 3 2 2" xfId="234" xr:uid="{00000000-0005-0000-0000-0000FC080000}"/>
    <cellStyle name="Título 3 3" xfId="235" xr:uid="{00000000-0005-0000-0000-0000FD080000}"/>
    <cellStyle name="Título 3 3 2" xfId="236" xr:uid="{00000000-0005-0000-0000-0000FE080000}"/>
    <cellStyle name="Título 4 2" xfId="237" xr:uid="{00000000-0005-0000-0000-0000FF080000}"/>
    <cellStyle name="Título 4 2 2" xfId="238" xr:uid="{00000000-0005-0000-0000-000000090000}"/>
    <cellStyle name="Título 4 3" xfId="239" xr:uid="{00000000-0005-0000-0000-000001090000}"/>
    <cellStyle name="Título 4 3 2" xfId="240" xr:uid="{00000000-0005-0000-0000-000002090000}"/>
    <cellStyle name="Título 5" xfId="241" xr:uid="{00000000-0005-0000-0000-000003090000}"/>
    <cellStyle name="Título 5 2" xfId="242" xr:uid="{00000000-0005-0000-0000-000004090000}"/>
    <cellStyle name="Título 6" xfId="243" xr:uid="{00000000-0005-0000-0000-000005090000}"/>
    <cellStyle name="Título 6 2" xfId="244" xr:uid="{00000000-0005-0000-0000-000006090000}"/>
    <cellStyle name="Total 2" xfId="245" xr:uid="{00000000-0005-0000-0000-000007090000}"/>
    <cellStyle name="Total 2 2" xfId="246" xr:uid="{00000000-0005-0000-0000-000008090000}"/>
    <cellStyle name="Total 2 2 2" xfId="428" xr:uid="{00000000-0005-0000-0000-000009090000}"/>
    <cellStyle name="Total 2 2 2 10" xfId="1199" xr:uid="{00000000-0005-0000-0000-00000A090000}"/>
    <cellStyle name="Total 2 2 2 10 2" xfId="1987" xr:uid="{00000000-0005-0000-0000-00000B090000}"/>
    <cellStyle name="Total 2 2 2 10 3" xfId="2480" xr:uid="{00000000-0005-0000-0000-00000C090000}"/>
    <cellStyle name="Total 2 2 2 10 4" xfId="2743" xr:uid="{00000000-0005-0000-0000-00000D090000}"/>
    <cellStyle name="Total 2 2 2 11" xfId="1311" xr:uid="{00000000-0005-0000-0000-00000E090000}"/>
    <cellStyle name="Total 2 2 2 11 2" xfId="2099" xr:uid="{00000000-0005-0000-0000-00000F090000}"/>
    <cellStyle name="Total 2 2 2 11 3" xfId="2571" xr:uid="{00000000-0005-0000-0000-000010090000}"/>
    <cellStyle name="Total 2 2 2 11 4" xfId="2842" xr:uid="{00000000-0005-0000-0000-000011090000}"/>
    <cellStyle name="Total 2 2 2 12" xfId="1332" xr:uid="{00000000-0005-0000-0000-000012090000}"/>
    <cellStyle name="Total 2 2 2 12 2" xfId="2120" xr:uid="{00000000-0005-0000-0000-000013090000}"/>
    <cellStyle name="Total 2 2 2 12 3" xfId="2590" xr:uid="{00000000-0005-0000-0000-000014090000}"/>
    <cellStyle name="Total 2 2 2 12 4" xfId="2861" xr:uid="{00000000-0005-0000-0000-000015090000}"/>
    <cellStyle name="Total 2 2 2 13" xfId="1354" xr:uid="{00000000-0005-0000-0000-000016090000}"/>
    <cellStyle name="Total 2 2 2 13 2" xfId="2142" xr:uid="{00000000-0005-0000-0000-000017090000}"/>
    <cellStyle name="Total 2 2 2 13 3" xfId="2612" xr:uid="{00000000-0005-0000-0000-000018090000}"/>
    <cellStyle name="Total 2 2 2 13 4" xfId="2883" xr:uid="{00000000-0005-0000-0000-000019090000}"/>
    <cellStyle name="Total 2 2 2 14" xfId="1366" xr:uid="{00000000-0005-0000-0000-00001A090000}"/>
    <cellStyle name="Total 2 2 2 14 2" xfId="2154" xr:uid="{00000000-0005-0000-0000-00001B090000}"/>
    <cellStyle name="Total 2 2 2 14 3" xfId="2622" xr:uid="{00000000-0005-0000-0000-00001C090000}"/>
    <cellStyle name="Total 2 2 2 14 4" xfId="2895" xr:uid="{00000000-0005-0000-0000-00001D090000}"/>
    <cellStyle name="Total 2 2 2 15" xfId="1377" xr:uid="{00000000-0005-0000-0000-00001E090000}"/>
    <cellStyle name="Total 2 2 2 15 2" xfId="2165" xr:uid="{00000000-0005-0000-0000-00001F090000}"/>
    <cellStyle name="Total 2 2 2 15 3" xfId="2631" xr:uid="{00000000-0005-0000-0000-000020090000}"/>
    <cellStyle name="Total 2 2 2 15 4" xfId="2906" xr:uid="{00000000-0005-0000-0000-000021090000}"/>
    <cellStyle name="Total 2 2 2 16" xfId="1288" xr:uid="{00000000-0005-0000-0000-000022090000}"/>
    <cellStyle name="Total 2 2 2 16 2" xfId="2076" xr:uid="{00000000-0005-0000-0000-000023090000}"/>
    <cellStyle name="Total 2 2 2 16 3" xfId="2553" xr:uid="{00000000-0005-0000-0000-000024090000}"/>
    <cellStyle name="Total 2 2 2 16 4" xfId="2820" xr:uid="{00000000-0005-0000-0000-000025090000}"/>
    <cellStyle name="Total 2 2 2 17" xfId="1393" xr:uid="{00000000-0005-0000-0000-000026090000}"/>
    <cellStyle name="Total 2 2 2 17 2" xfId="2181" xr:uid="{00000000-0005-0000-0000-000027090000}"/>
    <cellStyle name="Total 2 2 2 17 3" xfId="2645" xr:uid="{00000000-0005-0000-0000-000028090000}"/>
    <cellStyle name="Total 2 2 2 17 4" xfId="2920" xr:uid="{00000000-0005-0000-0000-000029090000}"/>
    <cellStyle name="Total 2 2 2 18" xfId="1400" xr:uid="{00000000-0005-0000-0000-00002A090000}"/>
    <cellStyle name="Total 2 2 2 18 2" xfId="2188" xr:uid="{00000000-0005-0000-0000-00002B090000}"/>
    <cellStyle name="Total 2 2 2 18 3" xfId="2651" xr:uid="{00000000-0005-0000-0000-00002C090000}"/>
    <cellStyle name="Total 2 2 2 18 4" xfId="2927" xr:uid="{00000000-0005-0000-0000-00002D090000}"/>
    <cellStyle name="Total 2 2 2 19" xfId="1439" xr:uid="{00000000-0005-0000-0000-00002E090000}"/>
    <cellStyle name="Total 2 2 2 19 2" xfId="2207" xr:uid="{00000000-0005-0000-0000-00002F090000}"/>
    <cellStyle name="Total 2 2 2 19 3" xfId="2681" xr:uid="{00000000-0005-0000-0000-000030090000}"/>
    <cellStyle name="Total 2 2 2 2" xfId="1064" xr:uid="{00000000-0005-0000-0000-000031090000}"/>
    <cellStyle name="Total 2 2 2 2 2" xfId="1860" xr:uid="{00000000-0005-0000-0000-000032090000}"/>
    <cellStyle name="Total 2 2 2 2 3" xfId="2382" xr:uid="{00000000-0005-0000-0000-000033090000}"/>
    <cellStyle name="Total 2 2 2 2 4" xfId="2669" xr:uid="{00000000-0005-0000-0000-000034090000}"/>
    <cellStyle name="Total 2 2 2 20" xfId="702" xr:uid="{00000000-0005-0000-0000-000035090000}"/>
    <cellStyle name="Total 2 2 2 21" xfId="1537" xr:uid="{00000000-0005-0000-0000-000036090000}"/>
    <cellStyle name="Total 2 2 2 22" xfId="536" xr:uid="{00000000-0005-0000-0000-000037090000}"/>
    <cellStyle name="Total 2 2 2 23" xfId="1654" xr:uid="{00000000-0005-0000-0000-000038090000}"/>
    <cellStyle name="Total 2 2 2 3" xfId="1134" xr:uid="{00000000-0005-0000-0000-000039090000}"/>
    <cellStyle name="Total 2 2 2 3 2" xfId="1922" xr:uid="{00000000-0005-0000-0000-00003A090000}"/>
    <cellStyle name="Total 2 2 2 3 3" xfId="2427" xr:uid="{00000000-0005-0000-0000-00003B090000}"/>
    <cellStyle name="Total 2 2 2 3 4" xfId="1551" xr:uid="{00000000-0005-0000-0000-00003C090000}"/>
    <cellStyle name="Total 2 2 2 4" xfId="1158" xr:uid="{00000000-0005-0000-0000-00003D090000}"/>
    <cellStyle name="Total 2 2 2 4 2" xfId="1946" xr:uid="{00000000-0005-0000-0000-00003E090000}"/>
    <cellStyle name="Total 2 2 2 4 3" xfId="2447" xr:uid="{00000000-0005-0000-0000-00003F090000}"/>
    <cellStyle name="Total 2 2 2 4 4" xfId="2705" xr:uid="{00000000-0005-0000-0000-000040090000}"/>
    <cellStyle name="Total 2 2 2 5" xfId="1096" xr:uid="{00000000-0005-0000-0000-000041090000}"/>
    <cellStyle name="Total 2 2 2 5 2" xfId="1884" xr:uid="{00000000-0005-0000-0000-000042090000}"/>
    <cellStyle name="Total 2 2 2 5 3" xfId="2401" xr:uid="{00000000-0005-0000-0000-000043090000}"/>
    <cellStyle name="Total 2 2 2 5 4" xfId="505" xr:uid="{00000000-0005-0000-0000-000044090000}"/>
    <cellStyle name="Total 2 2 2 6" xfId="1206" xr:uid="{00000000-0005-0000-0000-000045090000}"/>
    <cellStyle name="Total 2 2 2 6 2" xfId="1994" xr:uid="{00000000-0005-0000-0000-000046090000}"/>
    <cellStyle name="Total 2 2 2 6 3" xfId="2485" xr:uid="{00000000-0005-0000-0000-000047090000}"/>
    <cellStyle name="Total 2 2 2 6 4" xfId="2749" xr:uid="{00000000-0005-0000-0000-000048090000}"/>
    <cellStyle name="Total 2 2 2 7" xfId="750" xr:uid="{00000000-0005-0000-0000-000049090000}"/>
    <cellStyle name="Total 2 2 2 7 2" xfId="1574" xr:uid="{00000000-0005-0000-0000-00004A090000}"/>
    <cellStyle name="Total 2 2 2 7 3" xfId="686" xr:uid="{00000000-0005-0000-0000-00004B090000}"/>
    <cellStyle name="Total 2 2 2 7 4" xfId="2536" xr:uid="{00000000-0005-0000-0000-00004C090000}"/>
    <cellStyle name="Total 2 2 2 8" xfId="1254" xr:uid="{00000000-0005-0000-0000-00004D090000}"/>
    <cellStyle name="Total 2 2 2 8 2" xfId="2042" xr:uid="{00000000-0005-0000-0000-00004E090000}"/>
    <cellStyle name="Total 2 2 2 8 3" xfId="2524" xr:uid="{00000000-0005-0000-0000-00004F090000}"/>
    <cellStyle name="Total 2 2 2 8 4" xfId="2791" xr:uid="{00000000-0005-0000-0000-000050090000}"/>
    <cellStyle name="Total 2 2 2 9" xfId="1273" xr:uid="{00000000-0005-0000-0000-000051090000}"/>
    <cellStyle name="Total 2 2 2 9 2" xfId="2061" xr:uid="{00000000-0005-0000-0000-000052090000}"/>
    <cellStyle name="Total 2 2 2 9 3" xfId="2541" xr:uid="{00000000-0005-0000-0000-000053090000}"/>
    <cellStyle name="Total 2 2 2 9 4" xfId="2807" xr:uid="{00000000-0005-0000-0000-000054090000}"/>
    <cellStyle name="Total 2 2 3" xfId="341" xr:uid="{00000000-0005-0000-0000-000055090000}"/>
    <cellStyle name="Total 2 2 3 10" xfId="1109" xr:uid="{00000000-0005-0000-0000-000056090000}"/>
    <cellStyle name="Total 2 2 3 10 2" xfId="1897" xr:uid="{00000000-0005-0000-0000-000057090000}"/>
    <cellStyle name="Total 2 2 3 10 3" xfId="2410" xr:uid="{00000000-0005-0000-0000-000058090000}"/>
    <cellStyle name="Total 2 2 3 10 4" xfId="494" xr:uid="{00000000-0005-0000-0000-000059090000}"/>
    <cellStyle name="Total 2 2 3 11" xfId="1292" xr:uid="{00000000-0005-0000-0000-00005A090000}"/>
    <cellStyle name="Total 2 2 3 11 2" xfId="2080" xr:uid="{00000000-0005-0000-0000-00005B090000}"/>
    <cellStyle name="Total 2 2 3 11 3" xfId="2556" xr:uid="{00000000-0005-0000-0000-00005C090000}"/>
    <cellStyle name="Total 2 2 3 11 4" xfId="2824" xr:uid="{00000000-0005-0000-0000-00005D090000}"/>
    <cellStyle name="Total 2 2 3 12" xfId="1165" xr:uid="{00000000-0005-0000-0000-00005E090000}"/>
    <cellStyle name="Total 2 2 3 12 2" xfId="1953" xr:uid="{00000000-0005-0000-0000-00005F090000}"/>
    <cellStyle name="Total 2 2 3 12 3" xfId="2454" xr:uid="{00000000-0005-0000-0000-000060090000}"/>
    <cellStyle name="Total 2 2 3 12 4" xfId="2712" xr:uid="{00000000-0005-0000-0000-000061090000}"/>
    <cellStyle name="Total 2 2 3 13" xfId="1301" xr:uid="{00000000-0005-0000-0000-000062090000}"/>
    <cellStyle name="Total 2 2 3 13 2" xfId="2089" xr:uid="{00000000-0005-0000-0000-000063090000}"/>
    <cellStyle name="Total 2 2 3 13 3" xfId="2563" xr:uid="{00000000-0005-0000-0000-000064090000}"/>
    <cellStyle name="Total 2 2 3 13 4" xfId="2833" xr:uid="{00000000-0005-0000-0000-000065090000}"/>
    <cellStyle name="Total 2 2 3 14" xfId="1232" xr:uid="{00000000-0005-0000-0000-000066090000}"/>
    <cellStyle name="Total 2 2 3 14 2" xfId="2020" xr:uid="{00000000-0005-0000-0000-000067090000}"/>
    <cellStyle name="Total 2 2 3 14 3" xfId="2504" xr:uid="{00000000-0005-0000-0000-000068090000}"/>
    <cellStyle name="Total 2 2 3 14 4" xfId="2769" xr:uid="{00000000-0005-0000-0000-000069090000}"/>
    <cellStyle name="Total 2 2 3 15" xfId="904" xr:uid="{00000000-0005-0000-0000-00006A090000}"/>
    <cellStyle name="Total 2 2 3 15 2" xfId="1707" xr:uid="{00000000-0005-0000-0000-00006B090000}"/>
    <cellStyle name="Total 2 2 3 15 3" xfId="2274" xr:uid="{00000000-0005-0000-0000-00006C090000}"/>
    <cellStyle name="Total 2 2 3 15 4" xfId="1491" xr:uid="{00000000-0005-0000-0000-00006D090000}"/>
    <cellStyle name="Total 2 2 3 16" xfId="1176" xr:uid="{00000000-0005-0000-0000-00006E090000}"/>
    <cellStyle name="Total 2 2 3 16 2" xfId="1964" xr:uid="{00000000-0005-0000-0000-00006F090000}"/>
    <cellStyle name="Total 2 2 3 16 3" xfId="2461" xr:uid="{00000000-0005-0000-0000-000070090000}"/>
    <cellStyle name="Total 2 2 3 16 4" xfId="2722" xr:uid="{00000000-0005-0000-0000-000071090000}"/>
    <cellStyle name="Total 2 2 3 17" xfId="1389" xr:uid="{00000000-0005-0000-0000-000072090000}"/>
    <cellStyle name="Total 2 2 3 17 2" xfId="2177" xr:uid="{00000000-0005-0000-0000-000073090000}"/>
    <cellStyle name="Total 2 2 3 17 3" xfId="2641" xr:uid="{00000000-0005-0000-0000-000074090000}"/>
    <cellStyle name="Total 2 2 3 17 4" xfId="2916" xr:uid="{00000000-0005-0000-0000-000075090000}"/>
    <cellStyle name="Total 2 2 3 18" xfId="1396" xr:uid="{00000000-0005-0000-0000-000076090000}"/>
    <cellStyle name="Total 2 2 3 18 2" xfId="2184" xr:uid="{00000000-0005-0000-0000-000077090000}"/>
    <cellStyle name="Total 2 2 3 18 3" xfId="2648" xr:uid="{00000000-0005-0000-0000-000078090000}"/>
    <cellStyle name="Total 2 2 3 18 4" xfId="2923" xr:uid="{00000000-0005-0000-0000-000079090000}"/>
    <cellStyle name="Total 2 2 3 19" xfId="1432" xr:uid="{00000000-0005-0000-0000-00007A090000}"/>
    <cellStyle name="Total 2 2 3 19 2" xfId="2201" xr:uid="{00000000-0005-0000-0000-00007B090000}"/>
    <cellStyle name="Total 2 2 3 19 3" xfId="2675" xr:uid="{00000000-0005-0000-0000-00007C090000}"/>
    <cellStyle name="Total 2 2 3 2" xfId="997" xr:uid="{00000000-0005-0000-0000-00007D090000}"/>
    <cellStyle name="Total 2 2 3 2 2" xfId="1795" xr:uid="{00000000-0005-0000-0000-00007E090000}"/>
    <cellStyle name="Total 2 2 3 2 3" xfId="2335" xr:uid="{00000000-0005-0000-0000-00007F090000}"/>
    <cellStyle name="Total 2 2 3 2 4" xfId="2565" xr:uid="{00000000-0005-0000-0000-000080090000}"/>
    <cellStyle name="Total 2 2 3 20" xfId="638" xr:uid="{00000000-0005-0000-0000-000081090000}"/>
    <cellStyle name="Total 2 2 3 21" xfId="1498" xr:uid="{00000000-0005-0000-0000-000082090000}"/>
    <cellStyle name="Total 2 2 3 22" xfId="2218" xr:uid="{00000000-0005-0000-0000-000083090000}"/>
    <cellStyle name="Total 2 2 3 23" xfId="2395" xr:uid="{00000000-0005-0000-0000-000084090000}"/>
    <cellStyle name="Total 2 2 3 3" xfId="747" xr:uid="{00000000-0005-0000-0000-000085090000}"/>
    <cellStyle name="Total 2 2 3 3 2" xfId="1571" xr:uid="{00000000-0005-0000-0000-000086090000}"/>
    <cellStyle name="Total 2 2 3 3 3" xfId="618" xr:uid="{00000000-0005-0000-0000-000087090000}"/>
    <cellStyle name="Total 2 2 3 3 4" xfId="2291" xr:uid="{00000000-0005-0000-0000-000088090000}"/>
    <cellStyle name="Total 2 2 3 4" xfId="981" xr:uid="{00000000-0005-0000-0000-000089090000}"/>
    <cellStyle name="Total 2 2 3 4 2" xfId="1779" xr:uid="{00000000-0005-0000-0000-00008A090000}"/>
    <cellStyle name="Total 2 2 3 4 3" xfId="2321" xr:uid="{00000000-0005-0000-0000-00008B090000}"/>
    <cellStyle name="Total 2 2 3 4 4" xfId="2305" xr:uid="{00000000-0005-0000-0000-00008C090000}"/>
    <cellStyle name="Total 2 2 3 5" xfId="923" xr:uid="{00000000-0005-0000-0000-00008D090000}"/>
    <cellStyle name="Total 2 2 3 5 2" xfId="1726" xr:uid="{00000000-0005-0000-0000-00008E090000}"/>
    <cellStyle name="Total 2 2 3 5 3" xfId="2288" xr:uid="{00000000-0005-0000-0000-00008F090000}"/>
    <cellStyle name="Total 2 2 3 5 4" xfId="1495" xr:uid="{00000000-0005-0000-0000-000090090000}"/>
    <cellStyle name="Total 2 2 3 6" xfId="1179" xr:uid="{00000000-0005-0000-0000-000091090000}"/>
    <cellStyle name="Total 2 2 3 6 2" xfId="1967" xr:uid="{00000000-0005-0000-0000-000092090000}"/>
    <cellStyle name="Total 2 2 3 6 3" xfId="2464" xr:uid="{00000000-0005-0000-0000-000093090000}"/>
    <cellStyle name="Total 2 2 3 6 4" xfId="2725" xr:uid="{00000000-0005-0000-0000-000094090000}"/>
    <cellStyle name="Total 2 2 3 7" xfId="1105" xr:uid="{00000000-0005-0000-0000-000095090000}"/>
    <cellStyle name="Total 2 2 3 7 2" xfId="1893" xr:uid="{00000000-0005-0000-0000-000096090000}"/>
    <cellStyle name="Total 2 2 3 7 3" xfId="2408" xr:uid="{00000000-0005-0000-0000-000097090000}"/>
    <cellStyle name="Total 2 2 3 7 4" xfId="497" xr:uid="{00000000-0005-0000-0000-000098090000}"/>
    <cellStyle name="Total 2 2 3 8" xfId="920" xr:uid="{00000000-0005-0000-0000-000099090000}"/>
    <cellStyle name="Total 2 2 3 8 2" xfId="1723" xr:uid="{00000000-0005-0000-0000-00009A090000}"/>
    <cellStyle name="Total 2 2 3 8 3" xfId="2286" xr:uid="{00000000-0005-0000-0000-00009B090000}"/>
    <cellStyle name="Total 2 2 3 8 4" xfId="1698" xr:uid="{00000000-0005-0000-0000-00009C090000}"/>
    <cellStyle name="Total 2 2 3 9" xfId="963" xr:uid="{00000000-0005-0000-0000-00009D090000}"/>
    <cellStyle name="Total 2 2 3 9 2" xfId="1761" xr:uid="{00000000-0005-0000-0000-00009E090000}"/>
    <cellStyle name="Total 2 2 3 9 3" xfId="2311" xr:uid="{00000000-0005-0000-0000-00009F090000}"/>
    <cellStyle name="Total 2 2 3 9 4" xfId="2493" xr:uid="{00000000-0005-0000-0000-0000A0090000}"/>
    <cellStyle name="Total 2 2 4" xfId="1418" xr:uid="{00000000-0005-0000-0000-0000A1090000}"/>
    <cellStyle name="Total 2 2 4 2" xfId="2195" xr:uid="{00000000-0005-0000-0000-0000A2090000}"/>
    <cellStyle name="Total 2 2 4 3" xfId="2665" xr:uid="{00000000-0005-0000-0000-0000A3090000}"/>
    <cellStyle name="Total 2 3" xfId="427" xr:uid="{00000000-0005-0000-0000-0000A4090000}"/>
    <cellStyle name="Total 2 3 10" xfId="992" xr:uid="{00000000-0005-0000-0000-0000A5090000}"/>
    <cellStyle name="Total 2 3 10 2" xfId="1790" xr:uid="{00000000-0005-0000-0000-0000A6090000}"/>
    <cellStyle name="Total 2 3 10 3" xfId="2331" xr:uid="{00000000-0005-0000-0000-0000A7090000}"/>
    <cellStyle name="Total 2 3 10 4" xfId="2271" xr:uid="{00000000-0005-0000-0000-0000A8090000}"/>
    <cellStyle name="Total 2 3 11" xfId="1310" xr:uid="{00000000-0005-0000-0000-0000A9090000}"/>
    <cellStyle name="Total 2 3 11 2" xfId="2098" xr:uid="{00000000-0005-0000-0000-0000AA090000}"/>
    <cellStyle name="Total 2 3 11 3" xfId="2570" xr:uid="{00000000-0005-0000-0000-0000AB090000}"/>
    <cellStyle name="Total 2 3 11 4" xfId="2841" xr:uid="{00000000-0005-0000-0000-0000AC090000}"/>
    <cellStyle name="Total 2 3 12" xfId="1331" xr:uid="{00000000-0005-0000-0000-0000AD090000}"/>
    <cellStyle name="Total 2 3 12 2" xfId="2119" xr:uid="{00000000-0005-0000-0000-0000AE090000}"/>
    <cellStyle name="Total 2 3 12 3" xfId="2589" xr:uid="{00000000-0005-0000-0000-0000AF090000}"/>
    <cellStyle name="Total 2 3 12 4" xfId="2860" xr:uid="{00000000-0005-0000-0000-0000B0090000}"/>
    <cellStyle name="Total 2 3 13" xfId="1353" xr:uid="{00000000-0005-0000-0000-0000B1090000}"/>
    <cellStyle name="Total 2 3 13 2" xfId="2141" xr:uid="{00000000-0005-0000-0000-0000B2090000}"/>
    <cellStyle name="Total 2 3 13 3" xfId="2611" xr:uid="{00000000-0005-0000-0000-0000B3090000}"/>
    <cellStyle name="Total 2 3 13 4" xfId="2882" xr:uid="{00000000-0005-0000-0000-0000B4090000}"/>
    <cellStyle name="Total 2 3 14" xfId="1365" xr:uid="{00000000-0005-0000-0000-0000B5090000}"/>
    <cellStyle name="Total 2 3 14 2" xfId="2153" xr:uid="{00000000-0005-0000-0000-0000B6090000}"/>
    <cellStyle name="Total 2 3 14 3" xfId="2621" xr:uid="{00000000-0005-0000-0000-0000B7090000}"/>
    <cellStyle name="Total 2 3 14 4" xfId="2894" xr:uid="{00000000-0005-0000-0000-0000B8090000}"/>
    <cellStyle name="Total 2 3 15" xfId="1376" xr:uid="{00000000-0005-0000-0000-0000B9090000}"/>
    <cellStyle name="Total 2 3 15 2" xfId="2164" xr:uid="{00000000-0005-0000-0000-0000BA090000}"/>
    <cellStyle name="Total 2 3 15 3" xfId="2630" xr:uid="{00000000-0005-0000-0000-0000BB090000}"/>
    <cellStyle name="Total 2 3 15 4" xfId="2905" xr:uid="{00000000-0005-0000-0000-0000BC090000}"/>
    <cellStyle name="Total 2 3 16" xfId="1082" xr:uid="{00000000-0005-0000-0000-0000BD090000}"/>
    <cellStyle name="Total 2 3 16 2" xfId="1874" xr:uid="{00000000-0005-0000-0000-0000BE090000}"/>
    <cellStyle name="Total 2 3 16 3" xfId="2392" xr:uid="{00000000-0005-0000-0000-0000BF090000}"/>
    <cellStyle name="Total 2 3 16 4" xfId="1534" xr:uid="{00000000-0005-0000-0000-0000C0090000}"/>
    <cellStyle name="Total 2 3 17" xfId="1360" xr:uid="{00000000-0005-0000-0000-0000C1090000}"/>
    <cellStyle name="Total 2 3 17 2" xfId="2148" xr:uid="{00000000-0005-0000-0000-0000C2090000}"/>
    <cellStyle name="Total 2 3 17 3" xfId="2616" xr:uid="{00000000-0005-0000-0000-0000C3090000}"/>
    <cellStyle name="Total 2 3 17 4" xfId="2889" xr:uid="{00000000-0005-0000-0000-0000C4090000}"/>
    <cellStyle name="Total 2 3 18" xfId="1386" xr:uid="{00000000-0005-0000-0000-0000C5090000}"/>
    <cellStyle name="Total 2 3 18 2" xfId="2174" xr:uid="{00000000-0005-0000-0000-0000C6090000}"/>
    <cellStyle name="Total 2 3 18 3" xfId="2638" xr:uid="{00000000-0005-0000-0000-0000C7090000}"/>
    <cellStyle name="Total 2 3 18 4" xfId="2913" xr:uid="{00000000-0005-0000-0000-0000C8090000}"/>
    <cellStyle name="Total 2 3 19" xfId="1438" xr:uid="{00000000-0005-0000-0000-0000C9090000}"/>
    <cellStyle name="Total 2 3 19 2" xfId="2206" xr:uid="{00000000-0005-0000-0000-0000CA090000}"/>
    <cellStyle name="Total 2 3 19 3" xfId="2680" xr:uid="{00000000-0005-0000-0000-0000CB090000}"/>
    <cellStyle name="Total 2 3 2" xfId="1063" xr:uid="{00000000-0005-0000-0000-0000CC090000}"/>
    <cellStyle name="Total 2 3 2 2" xfId="1859" xr:uid="{00000000-0005-0000-0000-0000CD090000}"/>
    <cellStyle name="Total 2 3 2 3" xfId="2381" xr:uid="{00000000-0005-0000-0000-0000CE090000}"/>
    <cellStyle name="Total 2 3 2 4" xfId="2340" xr:uid="{00000000-0005-0000-0000-0000CF090000}"/>
    <cellStyle name="Total 2 3 20" xfId="701" xr:uid="{00000000-0005-0000-0000-0000D0090000}"/>
    <cellStyle name="Total 2 3 21" xfId="1536" xr:uid="{00000000-0005-0000-0000-0000D1090000}"/>
    <cellStyle name="Total 2 3 22" xfId="535" xr:uid="{00000000-0005-0000-0000-0000D2090000}"/>
    <cellStyle name="Total 2 3 23" xfId="449" xr:uid="{00000000-0005-0000-0000-0000D3090000}"/>
    <cellStyle name="Total 2 3 3" xfId="1133" xr:uid="{00000000-0005-0000-0000-0000D4090000}"/>
    <cellStyle name="Total 2 3 3 2" xfId="1921" xr:uid="{00000000-0005-0000-0000-0000D5090000}"/>
    <cellStyle name="Total 2 3 3 3" xfId="2426" xr:uid="{00000000-0005-0000-0000-0000D6090000}"/>
    <cellStyle name="Total 2 3 3 4" xfId="1504" xr:uid="{00000000-0005-0000-0000-0000D7090000}"/>
    <cellStyle name="Total 2 3 4" xfId="1157" xr:uid="{00000000-0005-0000-0000-0000D8090000}"/>
    <cellStyle name="Total 2 3 4 2" xfId="1945" xr:uid="{00000000-0005-0000-0000-0000D9090000}"/>
    <cellStyle name="Total 2 3 4 3" xfId="2446" xr:uid="{00000000-0005-0000-0000-0000DA090000}"/>
    <cellStyle name="Total 2 3 4 4" xfId="2704" xr:uid="{00000000-0005-0000-0000-0000DB090000}"/>
    <cellStyle name="Total 2 3 5" xfId="795" xr:uid="{00000000-0005-0000-0000-0000DC090000}"/>
    <cellStyle name="Total 2 3 5 2" xfId="1619" xr:uid="{00000000-0005-0000-0000-0000DD090000}"/>
    <cellStyle name="Total 2 3 5 3" xfId="565" xr:uid="{00000000-0005-0000-0000-0000DE090000}"/>
    <cellStyle name="Total 2 3 5 4" xfId="681" xr:uid="{00000000-0005-0000-0000-0000DF090000}"/>
    <cellStyle name="Total 2 3 6" xfId="1205" xr:uid="{00000000-0005-0000-0000-0000E0090000}"/>
    <cellStyle name="Total 2 3 6 2" xfId="1993" xr:uid="{00000000-0005-0000-0000-0000E1090000}"/>
    <cellStyle name="Total 2 3 6 3" xfId="2484" xr:uid="{00000000-0005-0000-0000-0000E2090000}"/>
    <cellStyle name="Total 2 3 6 4" xfId="2748" xr:uid="{00000000-0005-0000-0000-0000E3090000}"/>
    <cellStyle name="Total 2 3 7" xfId="823" xr:uid="{00000000-0005-0000-0000-0000E4090000}"/>
    <cellStyle name="Total 2 3 7 2" xfId="1647" xr:uid="{00000000-0005-0000-0000-0000E5090000}"/>
    <cellStyle name="Total 2 3 7 3" xfId="2237" xr:uid="{00000000-0005-0000-0000-0000E6090000}"/>
    <cellStyle name="Total 2 3 7 4" xfId="574" xr:uid="{00000000-0005-0000-0000-0000E7090000}"/>
    <cellStyle name="Total 2 3 8" xfId="1253" xr:uid="{00000000-0005-0000-0000-0000E8090000}"/>
    <cellStyle name="Total 2 3 8 2" xfId="2041" xr:uid="{00000000-0005-0000-0000-0000E9090000}"/>
    <cellStyle name="Total 2 3 8 3" xfId="2523" xr:uid="{00000000-0005-0000-0000-0000EA090000}"/>
    <cellStyle name="Total 2 3 8 4" xfId="2790" xr:uid="{00000000-0005-0000-0000-0000EB090000}"/>
    <cellStyle name="Total 2 3 9" xfId="1272" xr:uid="{00000000-0005-0000-0000-0000EC090000}"/>
    <cellStyle name="Total 2 3 9 2" xfId="2060" xr:uid="{00000000-0005-0000-0000-0000ED090000}"/>
    <cellStyle name="Total 2 3 9 3" xfId="2540" xr:uid="{00000000-0005-0000-0000-0000EE090000}"/>
    <cellStyle name="Total 2 3 9 4" xfId="2806" xr:uid="{00000000-0005-0000-0000-0000EF090000}"/>
    <cellStyle name="Total 2 4" xfId="340" xr:uid="{00000000-0005-0000-0000-0000F0090000}"/>
    <cellStyle name="Total 2 4 10" xfId="1269" xr:uid="{00000000-0005-0000-0000-0000F1090000}"/>
    <cellStyle name="Total 2 4 10 2" xfId="2057" xr:uid="{00000000-0005-0000-0000-0000F2090000}"/>
    <cellStyle name="Total 2 4 10 3" xfId="2537" xr:uid="{00000000-0005-0000-0000-0000F3090000}"/>
    <cellStyle name="Total 2 4 10 4" xfId="2803" xr:uid="{00000000-0005-0000-0000-0000F4090000}"/>
    <cellStyle name="Total 2 4 11" xfId="1262" xr:uid="{00000000-0005-0000-0000-0000F5090000}"/>
    <cellStyle name="Total 2 4 11 2" xfId="2050" xr:uid="{00000000-0005-0000-0000-0000F6090000}"/>
    <cellStyle name="Total 2 4 11 3" xfId="2531" xr:uid="{00000000-0005-0000-0000-0000F7090000}"/>
    <cellStyle name="Total 2 4 11 4" xfId="2797" xr:uid="{00000000-0005-0000-0000-0000F8090000}"/>
    <cellStyle name="Total 2 4 12" xfId="1238" xr:uid="{00000000-0005-0000-0000-0000F9090000}"/>
    <cellStyle name="Total 2 4 12 2" xfId="2026" xr:uid="{00000000-0005-0000-0000-0000FA090000}"/>
    <cellStyle name="Total 2 4 12 3" xfId="2510" xr:uid="{00000000-0005-0000-0000-0000FB090000}"/>
    <cellStyle name="Total 2 4 12 4" xfId="2775" xr:uid="{00000000-0005-0000-0000-0000FC090000}"/>
    <cellStyle name="Total 2 4 13" xfId="1277" xr:uid="{00000000-0005-0000-0000-0000FD090000}"/>
    <cellStyle name="Total 2 4 13 2" xfId="2065" xr:uid="{00000000-0005-0000-0000-0000FE090000}"/>
    <cellStyle name="Total 2 4 13 3" xfId="2545" xr:uid="{00000000-0005-0000-0000-0000FF090000}"/>
    <cellStyle name="Total 2 4 13 4" xfId="2811" xr:uid="{00000000-0005-0000-0000-0000000A0000}"/>
    <cellStyle name="Total 2 4 14" xfId="1325" xr:uid="{00000000-0005-0000-0000-0000010A0000}"/>
    <cellStyle name="Total 2 4 14 2" xfId="2113" xr:uid="{00000000-0005-0000-0000-0000020A0000}"/>
    <cellStyle name="Total 2 4 14 3" xfId="2583" xr:uid="{00000000-0005-0000-0000-0000030A0000}"/>
    <cellStyle name="Total 2 4 14 4" xfId="2854" xr:uid="{00000000-0005-0000-0000-0000040A0000}"/>
    <cellStyle name="Total 2 4 15" xfId="1344" xr:uid="{00000000-0005-0000-0000-0000050A0000}"/>
    <cellStyle name="Total 2 4 15 2" xfId="2132" xr:uid="{00000000-0005-0000-0000-0000060A0000}"/>
    <cellStyle name="Total 2 4 15 3" xfId="2602" xr:uid="{00000000-0005-0000-0000-0000070A0000}"/>
    <cellStyle name="Total 2 4 15 4" xfId="2873" xr:uid="{00000000-0005-0000-0000-0000080A0000}"/>
    <cellStyle name="Total 2 4 16" xfId="1372" xr:uid="{00000000-0005-0000-0000-0000090A0000}"/>
    <cellStyle name="Total 2 4 16 2" xfId="2160" xr:uid="{00000000-0005-0000-0000-00000A0A0000}"/>
    <cellStyle name="Total 2 4 16 3" xfId="2626" xr:uid="{00000000-0005-0000-0000-00000B0A0000}"/>
    <cellStyle name="Total 2 4 16 4" xfId="2901" xr:uid="{00000000-0005-0000-0000-00000C0A0000}"/>
    <cellStyle name="Total 2 4 17" xfId="1381" xr:uid="{00000000-0005-0000-0000-00000D0A0000}"/>
    <cellStyle name="Total 2 4 17 2" xfId="2169" xr:uid="{00000000-0005-0000-0000-00000E0A0000}"/>
    <cellStyle name="Total 2 4 17 3" xfId="2634" xr:uid="{00000000-0005-0000-0000-00000F0A0000}"/>
    <cellStyle name="Total 2 4 17 4" xfId="2909" xr:uid="{00000000-0005-0000-0000-0000100A0000}"/>
    <cellStyle name="Total 2 4 18" xfId="1110" xr:uid="{00000000-0005-0000-0000-0000110A0000}"/>
    <cellStyle name="Total 2 4 18 2" xfId="1898" xr:uid="{00000000-0005-0000-0000-0000120A0000}"/>
    <cellStyle name="Total 2 4 18 3" xfId="2411" xr:uid="{00000000-0005-0000-0000-0000130A0000}"/>
    <cellStyle name="Total 2 4 18 4" xfId="493" xr:uid="{00000000-0005-0000-0000-0000140A0000}"/>
    <cellStyle name="Total 2 4 19" xfId="1431" xr:uid="{00000000-0005-0000-0000-0000150A0000}"/>
    <cellStyle name="Total 2 4 19 2" xfId="2200" xr:uid="{00000000-0005-0000-0000-0000160A0000}"/>
    <cellStyle name="Total 2 4 19 3" xfId="2674" xr:uid="{00000000-0005-0000-0000-0000170A0000}"/>
    <cellStyle name="Total 2 4 2" xfId="996" xr:uid="{00000000-0005-0000-0000-0000180A0000}"/>
    <cellStyle name="Total 2 4 2 2" xfId="1794" xr:uid="{00000000-0005-0000-0000-0000190A0000}"/>
    <cellStyle name="Total 2 4 2 3" xfId="2334" xr:uid="{00000000-0005-0000-0000-00001A0A0000}"/>
    <cellStyle name="Total 2 4 2 4" xfId="2363" xr:uid="{00000000-0005-0000-0000-00001B0A0000}"/>
    <cellStyle name="Total 2 4 20" xfId="637" xr:uid="{00000000-0005-0000-0000-00001C0A0000}"/>
    <cellStyle name="Total 2 4 21" xfId="1497" xr:uid="{00000000-0005-0000-0000-00001D0A0000}"/>
    <cellStyle name="Total 2 4 22" xfId="460" xr:uid="{00000000-0005-0000-0000-00001E0A0000}"/>
    <cellStyle name="Total 2 4 23" xfId="2698" xr:uid="{00000000-0005-0000-0000-00001F0A0000}"/>
    <cellStyle name="Total 2 4 3" xfId="748" xr:uid="{00000000-0005-0000-0000-0000200A0000}"/>
    <cellStyle name="Total 2 4 3 2" xfId="1572" xr:uid="{00000000-0005-0000-0000-0000210A0000}"/>
    <cellStyle name="Total 2 4 3 3" xfId="541" xr:uid="{00000000-0005-0000-0000-0000220A0000}"/>
    <cellStyle name="Total 2 4 3 4" xfId="2548" xr:uid="{00000000-0005-0000-0000-0000230A0000}"/>
    <cellStyle name="Total 2 4 4" xfId="1048" xr:uid="{00000000-0005-0000-0000-0000240A0000}"/>
    <cellStyle name="Total 2 4 4 2" xfId="1844" xr:uid="{00000000-0005-0000-0000-0000250A0000}"/>
    <cellStyle name="Total 2 4 4 3" xfId="2369" xr:uid="{00000000-0005-0000-0000-0000260A0000}"/>
    <cellStyle name="Total 2 4 4 4" xfId="2472" xr:uid="{00000000-0005-0000-0000-0000270A0000}"/>
    <cellStyle name="Total 2 4 5" xfId="977" xr:uid="{00000000-0005-0000-0000-0000280A0000}"/>
    <cellStyle name="Total 2 4 5 2" xfId="1775" xr:uid="{00000000-0005-0000-0000-0000290A0000}"/>
    <cellStyle name="Total 2 4 5 3" xfId="2318" xr:uid="{00000000-0005-0000-0000-00002A0A0000}"/>
    <cellStyle name="Total 2 4 5 4" xfId="2272" xr:uid="{00000000-0005-0000-0000-00002B0A0000}"/>
    <cellStyle name="Total 2 4 6" xfId="1143" xr:uid="{00000000-0005-0000-0000-00002C0A0000}"/>
    <cellStyle name="Total 2 4 6 2" xfId="1931" xr:uid="{00000000-0005-0000-0000-00002D0A0000}"/>
    <cellStyle name="Total 2 4 6 3" xfId="2435" xr:uid="{00000000-0005-0000-0000-00002E0A0000}"/>
    <cellStyle name="Total 2 4 6 4" xfId="1872" xr:uid="{00000000-0005-0000-0000-00002F0A0000}"/>
    <cellStyle name="Total 2 4 7" xfId="1197" xr:uid="{00000000-0005-0000-0000-0000300A0000}"/>
    <cellStyle name="Total 2 4 7 2" xfId="1985" xr:uid="{00000000-0005-0000-0000-0000310A0000}"/>
    <cellStyle name="Total 2 4 7 3" xfId="2478" xr:uid="{00000000-0005-0000-0000-0000320A0000}"/>
    <cellStyle name="Total 2 4 7 4" xfId="2741" xr:uid="{00000000-0005-0000-0000-0000330A0000}"/>
    <cellStyle name="Total 2 4 8" xfId="1226" xr:uid="{00000000-0005-0000-0000-0000340A0000}"/>
    <cellStyle name="Total 2 4 8 2" xfId="2014" xr:uid="{00000000-0005-0000-0000-0000350A0000}"/>
    <cellStyle name="Total 2 4 8 3" xfId="2499" xr:uid="{00000000-0005-0000-0000-0000360A0000}"/>
    <cellStyle name="Total 2 4 8 4" xfId="2763" xr:uid="{00000000-0005-0000-0000-0000370A0000}"/>
    <cellStyle name="Total 2 4 9" xfId="1031" xr:uid="{00000000-0005-0000-0000-0000380A0000}"/>
    <cellStyle name="Total 2 4 9 2" xfId="1828" xr:uid="{00000000-0005-0000-0000-0000390A0000}"/>
    <cellStyle name="Total 2 4 9 3" xfId="2355" xr:uid="{00000000-0005-0000-0000-00003A0A0000}"/>
    <cellStyle name="Total 2 4 9 4" xfId="2607" xr:uid="{00000000-0005-0000-0000-00003B0A0000}"/>
    <cellStyle name="Total 2 5" xfId="1448" xr:uid="{00000000-0005-0000-0000-00003C0A0000}"/>
    <cellStyle name="Total 2 5 2" xfId="2210" xr:uid="{00000000-0005-0000-0000-00003D0A0000}"/>
    <cellStyle name="Total 2 5 3" xfId="2684" xr:uid="{00000000-0005-0000-0000-00003E0A0000}"/>
    <cellStyle name="Total 3" xfId="247" xr:uid="{00000000-0005-0000-0000-00003F0A0000}"/>
    <cellStyle name="Total 3 2" xfId="248" xr:uid="{00000000-0005-0000-0000-0000400A0000}"/>
    <cellStyle name="Total 3 2 2" xfId="430" xr:uid="{00000000-0005-0000-0000-0000410A0000}"/>
    <cellStyle name="Total 3 2 2 10" xfId="1201" xr:uid="{00000000-0005-0000-0000-0000420A0000}"/>
    <cellStyle name="Total 3 2 2 10 2" xfId="1989" xr:uid="{00000000-0005-0000-0000-0000430A0000}"/>
    <cellStyle name="Total 3 2 2 10 3" xfId="2482" xr:uid="{00000000-0005-0000-0000-0000440A0000}"/>
    <cellStyle name="Total 3 2 2 10 4" xfId="2745" xr:uid="{00000000-0005-0000-0000-0000450A0000}"/>
    <cellStyle name="Total 3 2 2 11" xfId="1313" xr:uid="{00000000-0005-0000-0000-0000460A0000}"/>
    <cellStyle name="Total 3 2 2 11 2" xfId="2101" xr:uid="{00000000-0005-0000-0000-0000470A0000}"/>
    <cellStyle name="Total 3 2 2 11 3" xfId="2573" xr:uid="{00000000-0005-0000-0000-0000480A0000}"/>
    <cellStyle name="Total 3 2 2 11 4" xfId="2844" xr:uid="{00000000-0005-0000-0000-0000490A0000}"/>
    <cellStyle name="Total 3 2 2 12" xfId="1334" xr:uid="{00000000-0005-0000-0000-00004A0A0000}"/>
    <cellStyle name="Total 3 2 2 12 2" xfId="2122" xr:uid="{00000000-0005-0000-0000-00004B0A0000}"/>
    <cellStyle name="Total 3 2 2 12 3" xfId="2592" xr:uid="{00000000-0005-0000-0000-00004C0A0000}"/>
    <cellStyle name="Total 3 2 2 12 4" xfId="2863" xr:uid="{00000000-0005-0000-0000-00004D0A0000}"/>
    <cellStyle name="Total 3 2 2 13" xfId="1356" xr:uid="{00000000-0005-0000-0000-00004E0A0000}"/>
    <cellStyle name="Total 3 2 2 13 2" xfId="2144" xr:uid="{00000000-0005-0000-0000-00004F0A0000}"/>
    <cellStyle name="Total 3 2 2 13 3" xfId="2614" xr:uid="{00000000-0005-0000-0000-0000500A0000}"/>
    <cellStyle name="Total 3 2 2 13 4" xfId="2885" xr:uid="{00000000-0005-0000-0000-0000510A0000}"/>
    <cellStyle name="Total 3 2 2 14" xfId="1368" xr:uid="{00000000-0005-0000-0000-0000520A0000}"/>
    <cellStyle name="Total 3 2 2 14 2" xfId="2156" xr:uid="{00000000-0005-0000-0000-0000530A0000}"/>
    <cellStyle name="Total 3 2 2 14 3" xfId="2624" xr:uid="{00000000-0005-0000-0000-0000540A0000}"/>
    <cellStyle name="Total 3 2 2 14 4" xfId="2897" xr:uid="{00000000-0005-0000-0000-0000550A0000}"/>
    <cellStyle name="Total 3 2 2 15" xfId="1379" xr:uid="{00000000-0005-0000-0000-0000560A0000}"/>
    <cellStyle name="Total 3 2 2 15 2" xfId="2167" xr:uid="{00000000-0005-0000-0000-0000570A0000}"/>
    <cellStyle name="Total 3 2 2 15 3" xfId="2633" xr:uid="{00000000-0005-0000-0000-0000580A0000}"/>
    <cellStyle name="Total 3 2 2 15 4" xfId="2908" xr:uid="{00000000-0005-0000-0000-0000590A0000}"/>
    <cellStyle name="Total 3 2 2 16" xfId="1035" xr:uid="{00000000-0005-0000-0000-00005A0A0000}"/>
    <cellStyle name="Total 3 2 2 16 2" xfId="1832" xr:uid="{00000000-0005-0000-0000-00005B0A0000}"/>
    <cellStyle name="Total 3 2 2 16 3" xfId="2359" xr:uid="{00000000-0005-0000-0000-00005C0A0000}"/>
    <cellStyle name="Total 3 2 2 16 4" xfId="561" xr:uid="{00000000-0005-0000-0000-00005D0A0000}"/>
    <cellStyle name="Total 3 2 2 17" xfId="1392" xr:uid="{00000000-0005-0000-0000-00005E0A0000}"/>
    <cellStyle name="Total 3 2 2 17 2" xfId="2180" xr:uid="{00000000-0005-0000-0000-00005F0A0000}"/>
    <cellStyle name="Total 3 2 2 17 3" xfId="2644" xr:uid="{00000000-0005-0000-0000-0000600A0000}"/>
    <cellStyle name="Total 3 2 2 17 4" xfId="2919" xr:uid="{00000000-0005-0000-0000-0000610A0000}"/>
    <cellStyle name="Total 3 2 2 18" xfId="1399" xr:uid="{00000000-0005-0000-0000-0000620A0000}"/>
    <cellStyle name="Total 3 2 2 18 2" xfId="2187" xr:uid="{00000000-0005-0000-0000-0000630A0000}"/>
    <cellStyle name="Total 3 2 2 18 3" xfId="2650" xr:uid="{00000000-0005-0000-0000-0000640A0000}"/>
    <cellStyle name="Total 3 2 2 18 4" xfId="2926" xr:uid="{00000000-0005-0000-0000-0000650A0000}"/>
    <cellStyle name="Total 3 2 2 19" xfId="1441" xr:uid="{00000000-0005-0000-0000-0000660A0000}"/>
    <cellStyle name="Total 3 2 2 19 2" xfId="2209" xr:uid="{00000000-0005-0000-0000-0000670A0000}"/>
    <cellStyle name="Total 3 2 2 19 3" xfId="2683" xr:uid="{00000000-0005-0000-0000-0000680A0000}"/>
    <cellStyle name="Total 3 2 2 2" xfId="1066" xr:uid="{00000000-0005-0000-0000-0000690A0000}"/>
    <cellStyle name="Total 3 2 2 2 2" xfId="1862" xr:uid="{00000000-0005-0000-0000-00006A0A0000}"/>
    <cellStyle name="Total 3 2 2 2 3" xfId="2384" xr:uid="{00000000-0005-0000-0000-00006B0A0000}"/>
    <cellStyle name="Total 3 2 2 2 4" xfId="2582" xr:uid="{00000000-0005-0000-0000-00006C0A0000}"/>
    <cellStyle name="Total 3 2 2 20" xfId="704" xr:uid="{00000000-0005-0000-0000-00006D0A0000}"/>
    <cellStyle name="Total 3 2 2 21" xfId="1539" xr:uid="{00000000-0005-0000-0000-00006E0A0000}"/>
    <cellStyle name="Total 3 2 2 22" xfId="1552" xr:uid="{00000000-0005-0000-0000-00006F0A0000}"/>
    <cellStyle name="Total 3 2 2 23" xfId="452" xr:uid="{00000000-0005-0000-0000-0000700A0000}"/>
    <cellStyle name="Total 3 2 2 3" xfId="1136" xr:uid="{00000000-0005-0000-0000-0000710A0000}"/>
    <cellStyle name="Total 3 2 2 3 2" xfId="1924" xr:uid="{00000000-0005-0000-0000-0000720A0000}"/>
    <cellStyle name="Total 3 2 2 3 3" xfId="2429" xr:uid="{00000000-0005-0000-0000-0000730A0000}"/>
    <cellStyle name="Total 3 2 2 3 4" xfId="1550" xr:uid="{00000000-0005-0000-0000-0000740A0000}"/>
    <cellStyle name="Total 3 2 2 4" xfId="1160" xr:uid="{00000000-0005-0000-0000-0000750A0000}"/>
    <cellStyle name="Total 3 2 2 4 2" xfId="1948" xr:uid="{00000000-0005-0000-0000-0000760A0000}"/>
    <cellStyle name="Total 3 2 2 4 3" xfId="2449" xr:uid="{00000000-0005-0000-0000-0000770A0000}"/>
    <cellStyle name="Total 3 2 2 4 4" xfId="2707" xr:uid="{00000000-0005-0000-0000-0000780A0000}"/>
    <cellStyle name="Total 3 2 2 5" xfId="796" xr:uid="{00000000-0005-0000-0000-0000790A0000}"/>
    <cellStyle name="Total 3 2 2 5 2" xfId="1620" xr:uid="{00000000-0005-0000-0000-00007A0A0000}"/>
    <cellStyle name="Total 3 2 2 5 3" xfId="566" xr:uid="{00000000-0005-0000-0000-00007B0A0000}"/>
    <cellStyle name="Total 3 2 2 5 4" xfId="2344" xr:uid="{00000000-0005-0000-0000-00007C0A0000}"/>
    <cellStyle name="Total 3 2 2 6" xfId="1208" xr:uid="{00000000-0005-0000-0000-00007D0A0000}"/>
    <cellStyle name="Total 3 2 2 6 2" xfId="1996" xr:uid="{00000000-0005-0000-0000-00007E0A0000}"/>
    <cellStyle name="Total 3 2 2 6 3" xfId="2487" xr:uid="{00000000-0005-0000-0000-00007F0A0000}"/>
    <cellStyle name="Total 3 2 2 6 4" xfId="2751" xr:uid="{00000000-0005-0000-0000-0000800A0000}"/>
    <cellStyle name="Total 3 2 2 7" xfId="769" xr:uid="{00000000-0005-0000-0000-0000810A0000}"/>
    <cellStyle name="Total 3 2 2 7 2" xfId="1593" xr:uid="{00000000-0005-0000-0000-0000820A0000}"/>
    <cellStyle name="Total 3 2 2 7 3" xfId="549" xr:uid="{00000000-0005-0000-0000-0000830A0000}"/>
    <cellStyle name="Total 3 2 2 7 4" xfId="2532" xr:uid="{00000000-0005-0000-0000-0000840A0000}"/>
    <cellStyle name="Total 3 2 2 8" xfId="1256" xr:uid="{00000000-0005-0000-0000-0000850A0000}"/>
    <cellStyle name="Total 3 2 2 8 2" xfId="2044" xr:uid="{00000000-0005-0000-0000-0000860A0000}"/>
    <cellStyle name="Total 3 2 2 8 3" xfId="2526" xr:uid="{00000000-0005-0000-0000-0000870A0000}"/>
    <cellStyle name="Total 3 2 2 8 4" xfId="2793" xr:uid="{00000000-0005-0000-0000-0000880A0000}"/>
    <cellStyle name="Total 3 2 2 9" xfId="1275" xr:uid="{00000000-0005-0000-0000-0000890A0000}"/>
    <cellStyle name="Total 3 2 2 9 2" xfId="2063" xr:uid="{00000000-0005-0000-0000-00008A0A0000}"/>
    <cellStyle name="Total 3 2 2 9 3" xfId="2543" xr:uid="{00000000-0005-0000-0000-00008B0A0000}"/>
    <cellStyle name="Total 3 2 2 9 4" xfId="2809" xr:uid="{00000000-0005-0000-0000-00008C0A0000}"/>
    <cellStyle name="Total 3 2 3" xfId="343" xr:uid="{00000000-0005-0000-0000-00008D0A0000}"/>
    <cellStyle name="Total 3 2 3 10" xfId="744" xr:uid="{00000000-0005-0000-0000-00008E0A0000}"/>
    <cellStyle name="Total 3 2 3 10 2" xfId="1568" xr:uid="{00000000-0005-0000-0000-00008F0A0000}"/>
    <cellStyle name="Total 3 2 3 10 3" xfId="685" xr:uid="{00000000-0005-0000-0000-0000900A0000}"/>
    <cellStyle name="Total 3 2 3 10 4" xfId="2574" xr:uid="{00000000-0005-0000-0000-0000910A0000}"/>
    <cellStyle name="Total 3 2 3 11" xfId="1291" xr:uid="{00000000-0005-0000-0000-0000920A0000}"/>
    <cellStyle name="Total 3 2 3 11 2" xfId="2079" xr:uid="{00000000-0005-0000-0000-0000930A0000}"/>
    <cellStyle name="Total 3 2 3 11 3" xfId="2555" xr:uid="{00000000-0005-0000-0000-0000940A0000}"/>
    <cellStyle name="Total 3 2 3 11 4" xfId="2823" xr:uid="{00000000-0005-0000-0000-0000950A0000}"/>
    <cellStyle name="Total 3 2 3 12" xfId="953" xr:uid="{00000000-0005-0000-0000-0000960A0000}"/>
    <cellStyle name="Total 3 2 3 12 2" xfId="1752" xr:uid="{00000000-0005-0000-0000-0000970A0000}"/>
    <cellStyle name="Total 3 2 3 12 3" xfId="2304" xr:uid="{00000000-0005-0000-0000-0000980A0000}"/>
    <cellStyle name="Total 3 2 3 12 4" xfId="2618" xr:uid="{00000000-0005-0000-0000-0000990A0000}"/>
    <cellStyle name="Total 3 2 3 13" xfId="1211" xr:uid="{00000000-0005-0000-0000-00009A0A0000}"/>
    <cellStyle name="Total 3 2 3 13 2" xfId="1999" xr:uid="{00000000-0005-0000-0000-00009B0A0000}"/>
    <cellStyle name="Total 3 2 3 13 3" xfId="2489" xr:uid="{00000000-0005-0000-0000-00009C0A0000}"/>
    <cellStyle name="Total 3 2 3 13 4" xfId="2753" xr:uid="{00000000-0005-0000-0000-00009D0A0000}"/>
    <cellStyle name="Total 3 2 3 14" xfId="1139" xr:uid="{00000000-0005-0000-0000-00009E0A0000}"/>
    <cellStyle name="Total 3 2 3 14 2" xfId="1927" xr:uid="{00000000-0005-0000-0000-00009F0A0000}"/>
    <cellStyle name="Total 3 2 3 14 3" xfId="2432" xr:uid="{00000000-0005-0000-0000-0000A00A0000}"/>
    <cellStyle name="Total 3 2 3 14 4" xfId="1501" xr:uid="{00000000-0005-0000-0000-0000A10A0000}"/>
    <cellStyle name="Total 3 2 3 15" xfId="1299" xr:uid="{00000000-0005-0000-0000-0000A20A0000}"/>
    <cellStyle name="Total 3 2 3 15 2" xfId="2087" xr:uid="{00000000-0005-0000-0000-0000A30A0000}"/>
    <cellStyle name="Total 3 2 3 15 3" xfId="2561" xr:uid="{00000000-0005-0000-0000-0000A40A0000}"/>
    <cellStyle name="Total 3 2 3 15 4" xfId="2831" xr:uid="{00000000-0005-0000-0000-0000A50A0000}"/>
    <cellStyle name="Total 3 2 3 16" xfId="1212" xr:uid="{00000000-0005-0000-0000-0000A60A0000}"/>
    <cellStyle name="Total 3 2 3 16 2" xfId="2000" xr:uid="{00000000-0005-0000-0000-0000A70A0000}"/>
    <cellStyle name="Total 3 2 3 16 3" xfId="2490" xr:uid="{00000000-0005-0000-0000-0000A80A0000}"/>
    <cellStyle name="Total 3 2 3 16 4" xfId="2754" xr:uid="{00000000-0005-0000-0000-0000A90A0000}"/>
    <cellStyle name="Total 3 2 3 17" xfId="1196" xr:uid="{00000000-0005-0000-0000-0000AA0A0000}"/>
    <cellStyle name="Total 3 2 3 17 2" xfId="1984" xr:uid="{00000000-0005-0000-0000-0000AB0A0000}"/>
    <cellStyle name="Total 3 2 3 17 3" xfId="2477" xr:uid="{00000000-0005-0000-0000-0000AC0A0000}"/>
    <cellStyle name="Total 3 2 3 17 4" xfId="2740" xr:uid="{00000000-0005-0000-0000-0000AD0A0000}"/>
    <cellStyle name="Total 3 2 3 18" xfId="1341" xr:uid="{00000000-0005-0000-0000-0000AE0A0000}"/>
    <cellStyle name="Total 3 2 3 18 2" xfId="2129" xr:uid="{00000000-0005-0000-0000-0000AF0A0000}"/>
    <cellStyle name="Total 3 2 3 18 3" xfId="2599" xr:uid="{00000000-0005-0000-0000-0000B00A0000}"/>
    <cellStyle name="Total 3 2 3 18 4" xfId="2870" xr:uid="{00000000-0005-0000-0000-0000B10A0000}"/>
    <cellStyle name="Total 3 2 3 19" xfId="1452" xr:uid="{00000000-0005-0000-0000-0000B20A0000}"/>
    <cellStyle name="Total 3 2 3 19 2" xfId="2213" xr:uid="{00000000-0005-0000-0000-0000B30A0000}"/>
    <cellStyle name="Total 3 2 3 19 3" xfId="2686" xr:uid="{00000000-0005-0000-0000-0000B40A0000}"/>
    <cellStyle name="Total 3 2 3 2" xfId="999" xr:uid="{00000000-0005-0000-0000-0000B50A0000}"/>
    <cellStyle name="Total 3 2 3 2 2" xfId="1797" xr:uid="{00000000-0005-0000-0000-0000B60A0000}"/>
    <cellStyle name="Total 3 2 3 2 3" xfId="2337" xr:uid="{00000000-0005-0000-0000-0000B70A0000}"/>
    <cellStyle name="Total 3 2 3 2 4" xfId="1532" xr:uid="{00000000-0005-0000-0000-0000B80A0000}"/>
    <cellStyle name="Total 3 2 3 20" xfId="640" xr:uid="{00000000-0005-0000-0000-0000B90A0000}"/>
    <cellStyle name="Total 3 2 3 21" xfId="1500" xr:uid="{00000000-0005-0000-0000-0000BA0A0000}"/>
    <cellStyle name="Total 3 2 3 22" xfId="1516" xr:uid="{00000000-0005-0000-0000-0000BB0A0000}"/>
    <cellStyle name="Total 3 2 3 23" xfId="2225" xr:uid="{00000000-0005-0000-0000-0000BC0A0000}"/>
    <cellStyle name="Total 3 2 3 3" xfId="745" xr:uid="{00000000-0005-0000-0000-0000BD0A0000}"/>
    <cellStyle name="Total 3 2 3 3 2" xfId="1569" xr:uid="{00000000-0005-0000-0000-0000BE0A0000}"/>
    <cellStyle name="Total 3 2 3 3 3" xfId="619" xr:uid="{00000000-0005-0000-0000-0000BF0A0000}"/>
    <cellStyle name="Total 3 2 3 3 4" xfId="2469" xr:uid="{00000000-0005-0000-0000-0000C00A0000}"/>
    <cellStyle name="Total 3 2 3 4" xfId="884" xr:uid="{00000000-0005-0000-0000-0000C10A0000}"/>
    <cellStyle name="Total 3 2 3 4 2" xfId="1689" xr:uid="{00000000-0005-0000-0000-0000C20A0000}"/>
    <cellStyle name="Total 3 2 3 4 3" xfId="2266" xr:uid="{00000000-0005-0000-0000-0000C30A0000}"/>
    <cellStyle name="Total 3 2 3 4 4" xfId="1525" xr:uid="{00000000-0005-0000-0000-0000C40A0000}"/>
    <cellStyle name="Total 3 2 3 5" xfId="1103" xr:uid="{00000000-0005-0000-0000-0000C50A0000}"/>
    <cellStyle name="Total 3 2 3 5 2" xfId="1891" xr:uid="{00000000-0005-0000-0000-0000C60A0000}"/>
    <cellStyle name="Total 3 2 3 5 3" xfId="2407" xr:uid="{00000000-0005-0000-0000-0000C70A0000}"/>
    <cellStyle name="Total 3 2 3 5 4" xfId="499" xr:uid="{00000000-0005-0000-0000-0000C80A0000}"/>
    <cellStyle name="Total 3 2 3 6" xfId="1178" xr:uid="{00000000-0005-0000-0000-0000C90A0000}"/>
    <cellStyle name="Total 3 2 3 6 2" xfId="1966" xr:uid="{00000000-0005-0000-0000-0000CA0A0000}"/>
    <cellStyle name="Total 3 2 3 6 3" xfId="2463" xr:uid="{00000000-0005-0000-0000-0000CB0A0000}"/>
    <cellStyle name="Total 3 2 3 6 4" xfId="2724" xr:uid="{00000000-0005-0000-0000-0000CC0A0000}"/>
    <cellStyle name="Total 3 2 3 7" xfId="1089" xr:uid="{00000000-0005-0000-0000-0000CD0A0000}"/>
    <cellStyle name="Total 3 2 3 7 2" xfId="1877" xr:uid="{00000000-0005-0000-0000-0000CE0A0000}"/>
    <cellStyle name="Total 3 2 3 7 3" xfId="2396" xr:uid="{00000000-0005-0000-0000-0000CF0A0000}"/>
    <cellStyle name="Total 3 2 3 7 4" xfId="1535" xr:uid="{00000000-0005-0000-0000-0000D00A0000}"/>
    <cellStyle name="Total 3 2 3 8" xfId="976" xr:uid="{00000000-0005-0000-0000-0000D10A0000}"/>
    <cellStyle name="Total 3 2 3 8 2" xfId="1774" xr:uid="{00000000-0005-0000-0000-0000D20A0000}"/>
    <cellStyle name="Total 3 2 3 8 3" xfId="2317" xr:uid="{00000000-0005-0000-0000-0000D30A0000}"/>
    <cellStyle name="Total 3 2 3 8 4" xfId="2535" xr:uid="{00000000-0005-0000-0000-0000D40A0000}"/>
    <cellStyle name="Total 3 2 3 9" xfId="1114" xr:uid="{00000000-0005-0000-0000-0000D50A0000}"/>
    <cellStyle name="Total 3 2 3 9 2" xfId="1902" xr:uid="{00000000-0005-0000-0000-0000D60A0000}"/>
    <cellStyle name="Total 3 2 3 9 3" xfId="2413" xr:uid="{00000000-0005-0000-0000-0000D70A0000}"/>
    <cellStyle name="Total 3 2 3 9 4" xfId="490" xr:uid="{00000000-0005-0000-0000-0000D80A0000}"/>
    <cellStyle name="Total 3 2 4" xfId="1459" xr:uid="{00000000-0005-0000-0000-0000D90A0000}"/>
    <cellStyle name="Total 3 2 4 2" xfId="2217" xr:uid="{00000000-0005-0000-0000-0000DA0A0000}"/>
    <cellStyle name="Total 3 2 4 3" xfId="2690" xr:uid="{00000000-0005-0000-0000-0000DB0A0000}"/>
    <cellStyle name="Total 3 3" xfId="429" xr:uid="{00000000-0005-0000-0000-0000DC0A0000}"/>
    <cellStyle name="Total 3 3 10" xfId="820" xr:uid="{00000000-0005-0000-0000-0000DD0A0000}"/>
    <cellStyle name="Total 3 3 10 2" xfId="1644" xr:uid="{00000000-0005-0000-0000-0000DE0A0000}"/>
    <cellStyle name="Total 3 3 10 3" xfId="2234" xr:uid="{00000000-0005-0000-0000-0000DF0A0000}"/>
    <cellStyle name="Total 3 3 10 4" xfId="2594" xr:uid="{00000000-0005-0000-0000-0000E00A0000}"/>
    <cellStyle name="Total 3 3 11" xfId="1312" xr:uid="{00000000-0005-0000-0000-0000E10A0000}"/>
    <cellStyle name="Total 3 3 11 2" xfId="2100" xr:uid="{00000000-0005-0000-0000-0000E20A0000}"/>
    <cellStyle name="Total 3 3 11 3" xfId="2572" xr:uid="{00000000-0005-0000-0000-0000E30A0000}"/>
    <cellStyle name="Total 3 3 11 4" xfId="2843" xr:uid="{00000000-0005-0000-0000-0000E40A0000}"/>
    <cellStyle name="Total 3 3 12" xfId="1333" xr:uid="{00000000-0005-0000-0000-0000E50A0000}"/>
    <cellStyle name="Total 3 3 12 2" xfId="2121" xr:uid="{00000000-0005-0000-0000-0000E60A0000}"/>
    <cellStyle name="Total 3 3 12 3" xfId="2591" xr:uid="{00000000-0005-0000-0000-0000E70A0000}"/>
    <cellStyle name="Total 3 3 12 4" xfId="2862" xr:uid="{00000000-0005-0000-0000-0000E80A0000}"/>
    <cellStyle name="Total 3 3 13" xfId="1355" xr:uid="{00000000-0005-0000-0000-0000E90A0000}"/>
    <cellStyle name="Total 3 3 13 2" xfId="2143" xr:uid="{00000000-0005-0000-0000-0000EA0A0000}"/>
    <cellStyle name="Total 3 3 13 3" xfId="2613" xr:uid="{00000000-0005-0000-0000-0000EB0A0000}"/>
    <cellStyle name="Total 3 3 13 4" xfId="2884" xr:uid="{00000000-0005-0000-0000-0000EC0A0000}"/>
    <cellStyle name="Total 3 3 14" xfId="1367" xr:uid="{00000000-0005-0000-0000-0000ED0A0000}"/>
    <cellStyle name="Total 3 3 14 2" xfId="2155" xr:uid="{00000000-0005-0000-0000-0000EE0A0000}"/>
    <cellStyle name="Total 3 3 14 3" xfId="2623" xr:uid="{00000000-0005-0000-0000-0000EF0A0000}"/>
    <cellStyle name="Total 3 3 14 4" xfId="2896" xr:uid="{00000000-0005-0000-0000-0000F00A0000}"/>
    <cellStyle name="Total 3 3 15" xfId="1378" xr:uid="{00000000-0005-0000-0000-0000F10A0000}"/>
    <cellStyle name="Total 3 3 15 2" xfId="2166" xr:uid="{00000000-0005-0000-0000-0000F20A0000}"/>
    <cellStyle name="Total 3 3 15 3" xfId="2632" xr:uid="{00000000-0005-0000-0000-0000F30A0000}"/>
    <cellStyle name="Total 3 3 15 4" xfId="2907" xr:uid="{00000000-0005-0000-0000-0000F40A0000}"/>
    <cellStyle name="Total 3 3 16" xfId="1284" xr:uid="{00000000-0005-0000-0000-0000F50A0000}"/>
    <cellStyle name="Total 3 3 16 2" xfId="2072" xr:uid="{00000000-0005-0000-0000-0000F60A0000}"/>
    <cellStyle name="Total 3 3 16 3" xfId="2549" xr:uid="{00000000-0005-0000-0000-0000F70A0000}"/>
    <cellStyle name="Total 3 3 16 4" xfId="2816" xr:uid="{00000000-0005-0000-0000-0000F80A0000}"/>
    <cellStyle name="Total 3 3 17" xfId="1384" xr:uid="{00000000-0005-0000-0000-0000F90A0000}"/>
    <cellStyle name="Total 3 3 17 2" xfId="2172" xr:uid="{00000000-0005-0000-0000-0000FA0A0000}"/>
    <cellStyle name="Total 3 3 17 3" xfId="2636" xr:uid="{00000000-0005-0000-0000-0000FB0A0000}"/>
    <cellStyle name="Total 3 3 17 4" xfId="2911" xr:uid="{00000000-0005-0000-0000-0000FC0A0000}"/>
    <cellStyle name="Total 3 3 18" xfId="1225" xr:uid="{00000000-0005-0000-0000-0000FD0A0000}"/>
    <cellStyle name="Total 3 3 18 2" xfId="2013" xr:uid="{00000000-0005-0000-0000-0000FE0A0000}"/>
    <cellStyle name="Total 3 3 18 3" xfId="2498" xr:uid="{00000000-0005-0000-0000-0000FF0A0000}"/>
    <cellStyle name="Total 3 3 18 4" xfId="2762" xr:uid="{00000000-0005-0000-0000-0000000B0000}"/>
    <cellStyle name="Total 3 3 19" xfId="1440" xr:uid="{00000000-0005-0000-0000-0000010B0000}"/>
    <cellStyle name="Total 3 3 19 2" xfId="2208" xr:uid="{00000000-0005-0000-0000-0000020B0000}"/>
    <cellStyle name="Total 3 3 19 3" xfId="2682" xr:uid="{00000000-0005-0000-0000-0000030B0000}"/>
    <cellStyle name="Total 3 3 2" xfId="1065" xr:uid="{00000000-0005-0000-0000-0000040B0000}"/>
    <cellStyle name="Total 3 3 2 2" xfId="1861" xr:uid="{00000000-0005-0000-0000-0000050B0000}"/>
    <cellStyle name="Total 3 3 2 3" xfId="2383" xr:uid="{00000000-0005-0000-0000-0000060B0000}"/>
    <cellStyle name="Total 3 3 2 4" xfId="2649" xr:uid="{00000000-0005-0000-0000-0000070B0000}"/>
    <cellStyle name="Total 3 3 20" xfId="703" xr:uid="{00000000-0005-0000-0000-0000080B0000}"/>
    <cellStyle name="Total 3 3 21" xfId="1538" xr:uid="{00000000-0005-0000-0000-0000090B0000}"/>
    <cellStyle name="Total 3 3 22" xfId="680" xr:uid="{00000000-0005-0000-0000-00000A0B0000}"/>
    <cellStyle name="Total 3 3 23" xfId="1521" xr:uid="{00000000-0005-0000-0000-00000B0B0000}"/>
    <cellStyle name="Total 3 3 3" xfId="1135" xr:uid="{00000000-0005-0000-0000-00000C0B0000}"/>
    <cellStyle name="Total 3 3 3 2" xfId="1923" xr:uid="{00000000-0005-0000-0000-00000D0B0000}"/>
    <cellStyle name="Total 3 3 3 3" xfId="2428" xr:uid="{00000000-0005-0000-0000-00000E0B0000}"/>
    <cellStyle name="Total 3 3 3 4" xfId="1544" xr:uid="{00000000-0005-0000-0000-00000F0B0000}"/>
    <cellStyle name="Total 3 3 4" xfId="1159" xr:uid="{00000000-0005-0000-0000-0000100B0000}"/>
    <cellStyle name="Total 3 3 4 2" xfId="1947" xr:uid="{00000000-0005-0000-0000-0000110B0000}"/>
    <cellStyle name="Total 3 3 4 3" xfId="2448" xr:uid="{00000000-0005-0000-0000-0000120B0000}"/>
    <cellStyle name="Total 3 3 4 4" xfId="2706" xr:uid="{00000000-0005-0000-0000-0000130B0000}"/>
    <cellStyle name="Total 3 3 5" xfId="964" xr:uid="{00000000-0005-0000-0000-0000140B0000}"/>
    <cellStyle name="Total 3 3 5 2" xfId="1762" xr:uid="{00000000-0005-0000-0000-0000150B0000}"/>
    <cellStyle name="Total 3 3 5 3" xfId="2312" xr:uid="{00000000-0005-0000-0000-0000160B0000}"/>
    <cellStyle name="Total 3 3 5 4" xfId="2412" xr:uid="{00000000-0005-0000-0000-0000170B0000}"/>
    <cellStyle name="Total 3 3 6" xfId="1207" xr:uid="{00000000-0005-0000-0000-0000180B0000}"/>
    <cellStyle name="Total 3 3 6 2" xfId="1995" xr:uid="{00000000-0005-0000-0000-0000190B0000}"/>
    <cellStyle name="Total 3 3 6 3" xfId="2486" xr:uid="{00000000-0005-0000-0000-00001A0B0000}"/>
    <cellStyle name="Total 3 3 6 4" xfId="2750" xr:uid="{00000000-0005-0000-0000-00001B0B0000}"/>
    <cellStyle name="Total 3 3 7" xfId="1072" xr:uid="{00000000-0005-0000-0000-00001C0B0000}"/>
    <cellStyle name="Total 3 3 7 2" xfId="1868" xr:uid="{00000000-0005-0000-0000-00001D0B0000}"/>
    <cellStyle name="Total 3 3 7 3" xfId="2388" xr:uid="{00000000-0005-0000-0000-00001E0B0000}"/>
    <cellStyle name="Total 3 3 7 4" xfId="2391" xr:uid="{00000000-0005-0000-0000-00001F0B0000}"/>
    <cellStyle name="Total 3 3 8" xfId="1255" xr:uid="{00000000-0005-0000-0000-0000200B0000}"/>
    <cellStyle name="Total 3 3 8 2" xfId="2043" xr:uid="{00000000-0005-0000-0000-0000210B0000}"/>
    <cellStyle name="Total 3 3 8 3" xfId="2525" xr:uid="{00000000-0005-0000-0000-0000220B0000}"/>
    <cellStyle name="Total 3 3 8 4" xfId="2792" xr:uid="{00000000-0005-0000-0000-0000230B0000}"/>
    <cellStyle name="Total 3 3 9" xfId="1274" xr:uid="{00000000-0005-0000-0000-0000240B0000}"/>
    <cellStyle name="Total 3 3 9 2" xfId="2062" xr:uid="{00000000-0005-0000-0000-0000250B0000}"/>
    <cellStyle name="Total 3 3 9 3" xfId="2542" xr:uid="{00000000-0005-0000-0000-0000260B0000}"/>
    <cellStyle name="Total 3 3 9 4" xfId="2808" xr:uid="{00000000-0005-0000-0000-0000270B0000}"/>
    <cellStyle name="Total 3 4" xfId="342" xr:uid="{00000000-0005-0000-0000-0000280B0000}"/>
    <cellStyle name="Total 3 4 10" xfId="1285" xr:uid="{00000000-0005-0000-0000-0000290B0000}"/>
    <cellStyle name="Total 3 4 10 2" xfId="2073" xr:uid="{00000000-0005-0000-0000-00002A0B0000}"/>
    <cellStyle name="Total 3 4 10 3" xfId="2550" xr:uid="{00000000-0005-0000-0000-00002B0B0000}"/>
    <cellStyle name="Total 3 4 10 4" xfId="2817" xr:uid="{00000000-0005-0000-0000-00002C0B0000}"/>
    <cellStyle name="Total 3 4 11" xfId="1244" xr:uid="{00000000-0005-0000-0000-00002D0B0000}"/>
    <cellStyle name="Total 3 4 11 2" xfId="2032" xr:uid="{00000000-0005-0000-0000-00002E0B0000}"/>
    <cellStyle name="Total 3 4 11 3" xfId="2516" xr:uid="{00000000-0005-0000-0000-00002F0B0000}"/>
    <cellStyle name="Total 3 4 11 4" xfId="2781" xr:uid="{00000000-0005-0000-0000-0000300B0000}"/>
    <cellStyle name="Total 3 4 12" xfId="1057" xr:uid="{00000000-0005-0000-0000-0000310B0000}"/>
    <cellStyle name="Total 3 4 12 2" xfId="1853" xr:uid="{00000000-0005-0000-0000-0000320B0000}"/>
    <cellStyle name="Total 3 4 12 3" xfId="2376" xr:uid="{00000000-0005-0000-0000-0000330B0000}"/>
    <cellStyle name="Total 3 4 12 4" xfId="2296" xr:uid="{00000000-0005-0000-0000-0000340B0000}"/>
    <cellStyle name="Total 3 4 13" xfId="1305" xr:uid="{00000000-0005-0000-0000-0000350B0000}"/>
    <cellStyle name="Total 3 4 13 2" xfId="2093" xr:uid="{00000000-0005-0000-0000-0000360B0000}"/>
    <cellStyle name="Total 3 4 13 3" xfId="2566" xr:uid="{00000000-0005-0000-0000-0000370B0000}"/>
    <cellStyle name="Total 3 4 13 4" xfId="2836" xr:uid="{00000000-0005-0000-0000-0000380B0000}"/>
    <cellStyle name="Total 3 4 14" xfId="1326" xr:uid="{00000000-0005-0000-0000-0000390B0000}"/>
    <cellStyle name="Total 3 4 14 2" xfId="2114" xr:uid="{00000000-0005-0000-0000-00003A0B0000}"/>
    <cellStyle name="Total 3 4 14 3" xfId="2584" xr:uid="{00000000-0005-0000-0000-00003B0B0000}"/>
    <cellStyle name="Total 3 4 14 4" xfId="2855" xr:uid="{00000000-0005-0000-0000-00003C0B0000}"/>
    <cellStyle name="Total 3 4 15" xfId="1346" xr:uid="{00000000-0005-0000-0000-00003D0B0000}"/>
    <cellStyle name="Total 3 4 15 2" xfId="2134" xr:uid="{00000000-0005-0000-0000-00003E0B0000}"/>
    <cellStyle name="Total 3 4 15 3" xfId="2604" xr:uid="{00000000-0005-0000-0000-00003F0B0000}"/>
    <cellStyle name="Total 3 4 15 4" xfId="2875" xr:uid="{00000000-0005-0000-0000-0000400B0000}"/>
    <cellStyle name="Total 3 4 16" xfId="1383" xr:uid="{00000000-0005-0000-0000-0000410B0000}"/>
    <cellStyle name="Total 3 4 16 2" xfId="2171" xr:uid="{00000000-0005-0000-0000-0000420B0000}"/>
    <cellStyle name="Total 3 4 16 3" xfId="2635" xr:uid="{00000000-0005-0000-0000-0000430B0000}"/>
    <cellStyle name="Total 3 4 16 4" xfId="2910" xr:uid="{00000000-0005-0000-0000-0000440B0000}"/>
    <cellStyle name="Total 3 4 17" xfId="1266" xr:uid="{00000000-0005-0000-0000-0000450B0000}"/>
    <cellStyle name="Total 3 4 17 2" xfId="2054" xr:uid="{00000000-0005-0000-0000-0000460B0000}"/>
    <cellStyle name="Total 3 4 17 3" xfId="2534" xr:uid="{00000000-0005-0000-0000-0000470B0000}"/>
    <cellStyle name="Total 3 4 17 4" xfId="2800" xr:uid="{00000000-0005-0000-0000-0000480B0000}"/>
    <cellStyle name="Total 3 4 18" xfId="825" xr:uid="{00000000-0005-0000-0000-0000490B0000}"/>
    <cellStyle name="Total 3 4 18 2" xfId="1649" xr:uid="{00000000-0005-0000-0000-00004A0B0000}"/>
    <cellStyle name="Total 3 4 18 3" xfId="2239" xr:uid="{00000000-0005-0000-0000-00004B0B0000}"/>
    <cellStyle name="Total 3 4 18 4" xfId="2360" xr:uid="{00000000-0005-0000-0000-00004C0B0000}"/>
    <cellStyle name="Total 3 4 19" xfId="1467" xr:uid="{00000000-0005-0000-0000-00004D0B0000}"/>
    <cellStyle name="Total 3 4 19 2" xfId="2221" xr:uid="{00000000-0005-0000-0000-00004E0B0000}"/>
    <cellStyle name="Total 3 4 19 3" xfId="2693" xr:uid="{00000000-0005-0000-0000-00004F0B0000}"/>
    <cellStyle name="Total 3 4 2" xfId="998" xr:uid="{00000000-0005-0000-0000-0000500B0000}"/>
    <cellStyle name="Total 3 4 2 2" xfId="1796" xr:uid="{00000000-0005-0000-0000-0000510B0000}"/>
    <cellStyle name="Total 3 4 2 3" xfId="2336" xr:uid="{00000000-0005-0000-0000-0000520B0000}"/>
    <cellStyle name="Total 3 4 2 4" xfId="1700" xr:uid="{00000000-0005-0000-0000-0000530B0000}"/>
    <cellStyle name="Total 3 4 20" xfId="639" xr:uid="{00000000-0005-0000-0000-0000540B0000}"/>
    <cellStyle name="Total 3 4 21" xfId="1499" xr:uid="{00000000-0005-0000-0000-0000550B0000}"/>
    <cellStyle name="Total 3 4 22" xfId="1818" xr:uid="{00000000-0005-0000-0000-0000560B0000}"/>
    <cellStyle name="Total 3 4 23" xfId="537" xr:uid="{00000000-0005-0000-0000-0000570B0000}"/>
    <cellStyle name="Total 3 4 3" xfId="746" xr:uid="{00000000-0005-0000-0000-0000580B0000}"/>
    <cellStyle name="Total 3 4 3 2" xfId="1570" xr:uid="{00000000-0005-0000-0000-0000590B0000}"/>
    <cellStyle name="Total 3 4 3 3" xfId="684" xr:uid="{00000000-0005-0000-0000-00005A0B0000}"/>
    <cellStyle name="Total 3 4 3 4" xfId="2546" xr:uid="{00000000-0005-0000-0000-00005B0B0000}"/>
    <cellStyle name="Total 3 4 4" xfId="883" xr:uid="{00000000-0005-0000-0000-00005C0B0000}"/>
    <cellStyle name="Total 3 4 4 2" xfId="1688" xr:uid="{00000000-0005-0000-0000-00005D0B0000}"/>
    <cellStyle name="Total 3 4 4 3" xfId="2265" xr:uid="{00000000-0005-0000-0000-00005E0B0000}"/>
    <cellStyle name="Total 3 4 4 4" xfId="521" xr:uid="{00000000-0005-0000-0000-00005F0B0000}"/>
    <cellStyle name="Total 3 4 5" xfId="1044" xr:uid="{00000000-0005-0000-0000-0000600B0000}"/>
    <cellStyle name="Total 3 4 5 2" xfId="1840" xr:uid="{00000000-0005-0000-0000-0000610B0000}"/>
    <cellStyle name="Total 3 4 5 3" xfId="2365" xr:uid="{00000000-0005-0000-0000-0000620B0000}"/>
    <cellStyle name="Total 3 4 5 4" xfId="2229" xr:uid="{00000000-0005-0000-0000-0000630B0000}"/>
    <cellStyle name="Total 3 4 6" xfId="1122" xr:uid="{00000000-0005-0000-0000-0000640B0000}"/>
    <cellStyle name="Total 3 4 6 2" xfId="1910" xr:uid="{00000000-0005-0000-0000-0000650B0000}"/>
    <cellStyle name="Total 3 4 6 3" xfId="2418" xr:uid="{00000000-0005-0000-0000-0000660B0000}"/>
    <cellStyle name="Total 3 4 6 4" xfId="483" xr:uid="{00000000-0005-0000-0000-0000670B0000}"/>
    <cellStyle name="Total 3 4 7" xfId="1217" xr:uid="{00000000-0005-0000-0000-0000680B0000}"/>
    <cellStyle name="Total 3 4 7 2" xfId="2005" xr:uid="{00000000-0005-0000-0000-0000690B0000}"/>
    <cellStyle name="Total 3 4 7 3" xfId="2492" xr:uid="{00000000-0005-0000-0000-00006A0B0000}"/>
    <cellStyle name="Total 3 4 7 4" xfId="2756" xr:uid="{00000000-0005-0000-0000-00006B0B0000}"/>
    <cellStyle name="Total 3 4 8" xfId="1224" xr:uid="{00000000-0005-0000-0000-00006C0B0000}"/>
    <cellStyle name="Total 3 4 8 2" xfId="2012" xr:uid="{00000000-0005-0000-0000-00006D0B0000}"/>
    <cellStyle name="Total 3 4 8 3" xfId="2497" xr:uid="{00000000-0005-0000-0000-00006E0B0000}"/>
    <cellStyle name="Total 3 4 8 4" xfId="2761" xr:uid="{00000000-0005-0000-0000-00006F0B0000}"/>
    <cellStyle name="Total 3 4 9" xfId="909" xr:uid="{00000000-0005-0000-0000-0000700B0000}"/>
    <cellStyle name="Total 3 4 9 2" xfId="1712" xr:uid="{00000000-0005-0000-0000-0000710B0000}"/>
    <cellStyle name="Total 3 4 9 3" xfId="2278" xr:uid="{00000000-0005-0000-0000-0000720B0000}"/>
    <cellStyle name="Total 3 4 9 4" xfId="2196" xr:uid="{00000000-0005-0000-0000-0000730B0000}"/>
    <cellStyle name="Total 3 5" xfId="1409" xr:uid="{00000000-0005-0000-0000-0000740B0000}"/>
    <cellStyle name="Total 3 5 2" xfId="2192" xr:uid="{00000000-0005-0000-0000-0000750B0000}"/>
    <cellStyle name="Total 3 5 3" xfId="2659" xr:uid="{00000000-0005-0000-0000-0000760B0000}"/>
    <cellStyle name="Vírgula" xfId="3" builtinId="3"/>
    <cellStyle name="Vírgula 2" xfId="250" xr:uid="{00000000-0005-0000-0000-0000780B0000}"/>
    <cellStyle name="Vírgula 2 2" xfId="251" xr:uid="{00000000-0005-0000-0000-0000790B0000}"/>
    <cellStyle name="Vírgula 2 2 2" xfId="446" xr:uid="{00000000-0005-0000-0000-00007A0B0000}"/>
    <cellStyle name="Vírgula 2 2 2 2" xfId="717" xr:uid="{00000000-0005-0000-0000-00007B0B0000}"/>
    <cellStyle name="Vírgula 2 2 3" xfId="431" xr:uid="{00000000-0005-0000-0000-00007C0B0000}"/>
    <cellStyle name="Vírgula 2 2 3 2" xfId="705" xr:uid="{00000000-0005-0000-0000-00007D0B0000}"/>
    <cellStyle name="Vírgula 2 2 4" xfId="344" xr:uid="{00000000-0005-0000-0000-00007E0B0000}"/>
    <cellStyle name="Vírgula 2 2 4 2" xfId="641" xr:uid="{00000000-0005-0000-0000-00007F0B0000}"/>
    <cellStyle name="Vírgula 2 2 5" xfId="927" xr:uid="{00000000-0005-0000-0000-0000800B0000}"/>
    <cellStyle name="Vírgula 2 2 6" xfId="2970" xr:uid="{00000000-0005-0000-0000-0000810B0000}"/>
    <cellStyle name="Vírgula 2 3" xfId="256" xr:uid="{00000000-0005-0000-0000-0000820B0000}"/>
    <cellStyle name="Vírgula 2 3 2" xfId="435" xr:uid="{00000000-0005-0000-0000-0000830B0000}"/>
    <cellStyle name="Vírgula 2 3 2 2" xfId="709" xr:uid="{00000000-0005-0000-0000-0000840B0000}"/>
    <cellStyle name="Vírgula 2 3 3" xfId="348" xr:uid="{00000000-0005-0000-0000-0000850B0000}"/>
    <cellStyle name="Vírgula 2 3 3 2" xfId="645" xr:uid="{00000000-0005-0000-0000-0000860B0000}"/>
    <cellStyle name="Vírgula 2 3 4" xfId="727" xr:uid="{00000000-0005-0000-0000-0000870B0000}"/>
    <cellStyle name="Vírgula 2 3 5" xfId="577" xr:uid="{00000000-0005-0000-0000-0000880B0000}"/>
    <cellStyle name="Vírgula 2 4" xfId="438" xr:uid="{00000000-0005-0000-0000-0000890B0000}"/>
    <cellStyle name="Vírgula 2 4 2" xfId="711" xr:uid="{00000000-0005-0000-0000-00008A0B0000}"/>
    <cellStyle name="Vírgula 2 5" xfId="725" xr:uid="{00000000-0005-0000-0000-00008B0B0000}"/>
    <cellStyle name="Vírgula 2 6" xfId="2966" xr:uid="{00000000-0005-0000-0000-00008C0B0000}"/>
    <cellStyle name="Vírgula 3" xfId="252" xr:uid="{00000000-0005-0000-0000-00008D0B0000}"/>
    <cellStyle name="Vírgula 3 2" xfId="432" xr:uid="{00000000-0005-0000-0000-00008E0B0000}"/>
    <cellStyle name="Vírgula 3 2 2" xfId="706" xr:uid="{00000000-0005-0000-0000-00008F0B0000}"/>
    <cellStyle name="Vírgula 3 3" xfId="345" xr:uid="{00000000-0005-0000-0000-0000900B0000}"/>
    <cellStyle name="Vírgula 3 3 2" xfId="642" xr:uid="{00000000-0005-0000-0000-0000910B0000}"/>
    <cellStyle name="Vírgula 3 4" xfId="928" xr:uid="{00000000-0005-0000-0000-0000920B0000}"/>
    <cellStyle name="Vírgula 4" xfId="253" xr:uid="{00000000-0005-0000-0000-0000930B0000}"/>
    <cellStyle name="Vírgula 4 2" xfId="442" xr:uid="{00000000-0005-0000-0000-0000940B0000}"/>
    <cellStyle name="Vírgula 4 2 2" xfId="1078" xr:uid="{00000000-0005-0000-0000-0000950B0000}"/>
    <cellStyle name="Vírgula 4 2 3" xfId="1474" xr:uid="{00000000-0005-0000-0000-0000960B0000}"/>
    <cellStyle name="Vírgula 4 2 4" xfId="713" xr:uid="{00000000-0005-0000-0000-0000970B0000}"/>
    <cellStyle name="Vírgula 4 3" xfId="433" xr:uid="{00000000-0005-0000-0000-0000980B0000}"/>
    <cellStyle name="Vírgula 4 3 2" xfId="1069" xr:uid="{00000000-0005-0000-0000-0000990B0000}"/>
    <cellStyle name="Vírgula 4 3 3" xfId="1470" xr:uid="{00000000-0005-0000-0000-00009A0B0000}"/>
    <cellStyle name="Vírgula 4 3 4" xfId="707" xr:uid="{00000000-0005-0000-0000-00009B0B0000}"/>
    <cellStyle name="Vírgula 4 4" xfId="346" xr:uid="{00000000-0005-0000-0000-00009C0B0000}"/>
    <cellStyle name="Vírgula 4 4 2" xfId="1001" xr:uid="{00000000-0005-0000-0000-00009D0B0000}"/>
    <cellStyle name="Vírgula 4 4 3" xfId="1456" xr:uid="{00000000-0005-0000-0000-00009E0B0000}"/>
    <cellStyle name="Vírgula 4 4 4" xfId="643" xr:uid="{00000000-0005-0000-0000-00009F0B0000}"/>
    <cellStyle name="Vírgula 4 5" xfId="929" xr:uid="{00000000-0005-0000-0000-0000A00B0000}"/>
    <cellStyle name="Vírgula 4 6" xfId="1442" xr:uid="{00000000-0005-0000-0000-0000A10B0000}"/>
    <cellStyle name="Vírgula 4 7" xfId="575" xr:uid="{00000000-0005-0000-0000-0000A20B0000}"/>
    <cellStyle name="Vírgula 4 8" xfId="2968" xr:uid="{00000000-0005-0000-0000-0000A30B0000}"/>
    <cellStyle name="Vírgula 5" xfId="249" xr:uid="{00000000-0005-0000-0000-0000A40B0000}"/>
    <cellStyle name="Vírgula 6" xfId="2976" xr:uid="{00000000-0005-0000-0000-0000A50B0000}"/>
    <cellStyle name="Vírgula 7" xfId="2980" xr:uid="{00000000-0005-0000-0000-0000A60B0000}"/>
  </cellStyles>
  <dxfs count="0"/>
  <tableStyles count="0" defaultTableStyle="TableStyleMedium9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seias/Desktop/MODELO-PLANILHA-PADRAO-MODULOS-IN-5-2017-ALTERADA-PELA-IN-7-2018-LIMP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ERÇÃO-DE-DADOS"/>
      <sheetName val="DADOS-ESTATISTICOS"/>
      <sheetName val="ENCARGOS-SOCIAIS-E-TRABALHISTAS"/>
      <sheetName val="ENCARREGADOS"/>
      <sheetName val="SERVENTES"/>
      <sheetName val="SERVENTES-AREA-HOSP"/>
      <sheetName val="CUSTOS POR M²"/>
      <sheetName val="QUADRO-RESUMO"/>
      <sheetName val="LIMITES-SEGES-PORT-7-2015"/>
      <sheetName val="LIMITES-SEGES-PORT-213-2017"/>
      <sheetName val="QTDE-ESTIMADA-SERVENTES"/>
    </sheetNames>
    <sheetDataSet>
      <sheetData sheetId="0">
        <row r="51">
          <cell r="C51" t="str">
            <v>Outras Ausências (Especificar em %)</v>
          </cell>
          <cell r="F51">
            <v>0</v>
          </cell>
        </row>
      </sheetData>
      <sheetData sheetId="1">
        <row r="8">
          <cell r="F8">
            <v>12</v>
          </cell>
        </row>
        <row r="24">
          <cell r="F24">
            <v>30</v>
          </cell>
        </row>
        <row r="29">
          <cell r="F29">
            <v>8</v>
          </cell>
        </row>
        <row r="30">
          <cell r="F30">
            <v>20</v>
          </cell>
        </row>
        <row r="31">
          <cell r="F31">
            <v>1.42</v>
          </cell>
        </row>
        <row r="32">
          <cell r="F32">
            <v>45.22</v>
          </cell>
        </row>
        <row r="33">
          <cell r="F33">
            <v>0.44</v>
          </cell>
        </row>
        <row r="34">
          <cell r="F34">
            <v>15</v>
          </cell>
        </row>
        <row r="35">
          <cell r="F35">
            <v>180</v>
          </cell>
        </row>
        <row r="36">
          <cell r="F36">
            <v>54.78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printerSettings" Target="../printerSettings/printerSettings38.bin"/><Relationship Id="rId5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3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Relationship Id="rId6" Type="http://schemas.openxmlformats.org/officeDocument/2006/relationships/printerSettings" Target="../printerSettings/printerSettings44.bin"/><Relationship Id="rId5" Type="http://schemas.openxmlformats.org/officeDocument/2006/relationships/printerSettings" Target="../printerSettings/printerSettings43.bin"/><Relationship Id="rId4" Type="http://schemas.openxmlformats.org/officeDocument/2006/relationships/printerSettings" Target="../printerSettings/printerSettings4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5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Relationship Id="rId6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6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Relationship Id="rId6" Type="http://schemas.openxmlformats.org/officeDocument/2006/relationships/printerSettings" Target="../printerSettings/printerSettings77.bin"/><Relationship Id="rId5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7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4" Type="http://schemas.openxmlformats.org/officeDocument/2006/relationships/printerSettings" Target="../printerSettings/printerSettings81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6.bin"/><Relationship Id="rId2" Type="http://schemas.openxmlformats.org/officeDocument/2006/relationships/printerSettings" Target="../printerSettings/printerSettings85.bin"/><Relationship Id="rId1" Type="http://schemas.openxmlformats.org/officeDocument/2006/relationships/printerSettings" Target="../printerSettings/printerSettings84.bin"/><Relationship Id="rId6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2.bin"/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Relationship Id="rId6" Type="http://schemas.openxmlformats.org/officeDocument/2006/relationships/printerSettings" Target="../printerSettings/printerSettings95.bin"/><Relationship Id="rId5" Type="http://schemas.openxmlformats.org/officeDocument/2006/relationships/printerSettings" Target="../printerSettings/printerSettings94.bin"/><Relationship Id="rId4" Type="http://schemas.openxmlformats.org/officeDocument/2006/relationships/printerSettings" Target="../printerSettings/printerSettings93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8.bin"/><Relationship Id="rId2" Type="http://schemas.openxmlformats.org/officeDocument/2006/relationships/printerSettings" Target="../printerSettings/printerSettings97.bin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5" Type="http://schemas.openxmlformats.org/officeDocument/2006/relationships/printerSettings" Target="../printerSettings/printerSettings100.bin"/><Relationship Id="rId4" Type="http://schemas.openxmlformats.org/officeDocument/2006/relationships/printerSettings" Target="../printerSettings/printerSettings9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4.bin"/><Relationship Id="rId2" Type="http://schemas.openxmlformats.org/officeDocument/2006/relationships/printerSettings" Target="../printerSettings/printerSettings103.bin"/><Relationship Id="rId1" Type="http://schemas.openxmlformats.org/officeDocument/2006/relationships/printerSettings" Target="../printerSettings/printerSettings102.bin"/><Relationship Id="rId6" Type="http://schemas.openxmlformats.org/officeDocument/2006/relationships/printerSettings" Target="../printerSettings/printerSettings107.bin"/><Relationship Id="rId5" Type="http://schemas.openxmlformats.org/officeDocument/2006/relationships/printerSettings" Target="../printerSettings/printerSettings106.bin"/><Relationship Id="rId4" Type="http://schemas.openxmlformats.org/officeDocument/2006/relationships/printerSettings" Target="../printerSettings/printerSettings105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0.bin"/><Relationship Id="rId2" Type="http://schemas.openxmlformats.org/officeDocument/2006/relationships/printerSettings" Target="../printerSettings/printerSettings109.bin"/><Relationship Id="rId1" Type="http://schemas.openxmlformats.org/officeDocument/2006/relationships/printerSettings" Target="../printerSettings/printerSettings108.bin"/><Relationship Id="rId6" Type="http://schemas.openxmlformats.org/officeDocument/2006/relationships/printerSettings" Target="../printerSettings/printerSettings113.bin"/><Relationship Id="rId5" Type="http://schemas.openxmlformats.org/officeDocument/2006/relationships/printerSettings" Target="../printerSettings/printerSettings112.bin"/><Relationship Id="rId4" Type="http://schemas.openxmlformats.org/officeDocument/2006/relationships/printerSettings" Target="../printerSettings/printerSettings11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15.bin"/><Relationship Id="rId1" Type="http://schemas.openxmlformats.org/officeDocument/2006/relationships/printerSettings" Target="../printerSettings/printerSettings114.bin"/><Relationship Id="rId6" Type="http://schemas.openxmlformats.org/officeDocument/2006/relationships/printerSettings" Target="../printerSettings/printerSettings119.bin"/><Relationship Id="rId5" Type="http://schemas.openxmlformats.org/officeDocument/2006/relationships/printerSettings" Target="../printerSettings/printerSettings118.bin"/><Relationship Id="rId4" Type="http://schemas.openxmlformats.org/officeDocument/2006/relationships/printerSettings" Target="../printerSettings/printerSettings117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2.bin"/><Relationship Id="rId2" Type="http://schemas.openxmlformats.org/officeDocument/2006/relationships/printerSettings" Target="../printerSettings/printerSettings121.bin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5" Type="http://schemas.openxmlformats.org/officeDocument/2006/relationships/printerSettings" Target="../printerSettings/printerSettings124.bin"/><Relationship Id="rId4" Type="http://schemas.openxmlformats.org/officeDocument/2006/relationships/printerSettings" Target="../printerSettings/printerSettings12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8.bin"/><Relationship Id="rId2" Type="http://schemas.openxmlformats.org/officeDocument/2006/relationships/printerSettings" Target="../printerSettings/printerSettings127.bin"/><Relationship Id="rId1" Type="http://schemas.openxmlformats.org/officeDocument/2006/relationships/printerSettings" Target="../printerSettings/printerSettings126.bin"/><Relationship Id="rId6" Type="http://schemas.openxmlformats.org/officeDocument/2006/relationships/printerSettings" Target="../printerSettings/printerSettings131.bin"/><Relationship Id="rId5" Type="http://schemas.openxmlformats.org/officeDocument/2006/relationships/printerSettings" Target="../printerSettings/printerSettings130.bin"/><Relationship Id="rId4" Type="http://schemas.openxmlformats.org/officeDocument/2006/relationships/printerSettings" Target="../printerSettings/printerSettings129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4.bin"/><Relationship Id="rId2" Type="http://schemas.openxmlformats.org/officeDocument/2006/relationships/printerSettings" Target="../printerSettings/printerSettings133.bin"/><Relationship Id="rId1" Type="http://schemas.openxmlformats.org/officeDocument/2006/relationships/printerSettings" Target="../printerSettings/printerSettings132.bin"/><Relationship Id="rId6" Type="http://schemas.openxmlformats.org/officeDocument/2006/relationships/printerSettings" Target="../printerSettings/printerSettings137.bin"/><Relationship Id="rId5" Type="http://schemas.openxmlformats.org/officeDocument/2006/relationships/printerSettings" Target="../printerSettings/printerSettings136.bin"/><Relationship Id="rId4" Type="http://schemas.openxmlformats.org/officeDocument/2006/relationships/printerSettings" Target="../printerSettings/printerSettings1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0.bin"/><Relationship Id="rId2" Type="http://schemas.openxmlformats.org/officeDocument/2006/relationships/printerSettings" Target="../printerSettings/printerSettings139.bin"/><Relationship Id="rId1" Type="http://schemas.openxmlformats.org/officeDocument/2006/relationships/printerSettings" Target="../printerSettings/printerSettings138.bin"/><Relationship Id="rId6" Type="http://schemas.openxmlformats.org/officeDocument/2006/relationships/printerSettings" Target="../printerSettings/printerSettings143.bin"/><Relationship Id="rId5" Type="http://schemas.openxmlformats.org/officeDocument/2006/relationships/printerSettings" Target="../printerSettings/printerSettings142.bin"/><Relationship Id="rId4" Type="http://schemas.openxmlformats.org/officeDocument/2006/relationships/printerSettings" Target="../printerSettings/printerSettings141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6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5" Type="http://schemas.openxmlformats.org/officeDocument/2006/relationships/printerSettings" Target="../printerSettings/printerSettings148.bin"/><Relationship Id="rId4" Type="http://schemas.openxmlformats.org/officeDocument/2006/relationships/printerSettings" Target="../printerSettings/printerSettings14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2.bin"/><Relationship Id="rId2" Type="http://schemas.openxmlformats.org/officeDocument/2006/relationships/printerSettings" Target="../printerSettings/printerSettings151.bin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5" Type="http://schemas.openxmlformats.org/officeDocument/2006/relationships/printerSettings" Target="../printerSettings/printerSettings154.bin"/><Relationship Id="rId4" Type="http://schemas.openxmlformats.org/officeDocument/2006/relationships/printerSettings" Target="../printerSettings/printerSettings153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8.bin"/><Relationship Id="rId2" Type="http://schemas.openxmlformats.org/officeDocument/2006/relationships/printerSettings" Target="../printerSettings/printerSettings157.bin"/><Relationship Id="rId1" Type="http://schemas.openxmlformats.org/officeDocument/2006/relationships/printerSettings" Target="../printerSettings/printerSettings156.bin"/><Relationship Id="rId6" Type="http://schemas.openxmlformats.org/officeDocument/2006/relationships/printerSettings" Target="../printerSettings/printerSettings161.bin"/><Relationship Id="rId5" Type="http://schemas.openxmlformats.org/officeDocument/2006/relationships/printerSettings" Target="../printerSettings/printerSettings160.bin"/><Relationship Id="rId4" Type="http://schemas.openxmlformats.org/officeDocument/2006/relationships/printerSettings" Target="../printerSettings/printerSettings15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4.bin"/><Relationship Id="rId2" Type="http://schemas.openxmlformats.org/officeDocument/2006/relationships/printerSettings" Target="../printerSettings/printerSettings163.bin"/><Relationship Id="rId1" Type="http://schemas.openxmlformats.org/officeDocument/2006/relationships/printerSettings" Target="../printerSettings/printerSettings162.bin"/><Relationship Id="rId6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5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0.bin"/><Relationship Id="rId2" Type="http://schemas.openxmlformats.org/officeDocument/2006/relationships/printerSettings" Target="../printerSettings/printerSettings169.bin"/><Relationship Id="rId1" Type="http://schemas.openxmlformats.org/officeDocument/2006/relationships/printerSettings" Target="../printerSettings/printerSettings168.bin"/><Relationship Id="rId6" Type="http://schemas.openxmlformats.org/officeDocument/2006/relationships/printerSettings" Target="../printerSettings/printerSettings173.bin"/><Relationship Id="rId5" Type="http://schemas.openxmlformats.org/officeDocument/2006/relationships/printerSettings" Target="../printerSettings/printerSettings172.bin"/><Relationship Id="rId4" Type="http://schemas.openxmlformats.org/officeDocument/2006/relationships/printerSettings" Target="../printerSettings/printerSettings17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6.bin"/><Relationship Id="rId2" Type="http://schemas.openxmlformats.org/officeDocument/2006/relationships/printerSettings" Target="../printerSettings/printerSettings175.bin"/><Relationship Id="rId1" Type="http://schemas.openxmlformats.org/officeDocument/2006/relationships/printerSettings" Target="../printerSettings/printerSettings174.bin"/><Relationship Id="rId6" Type="http://schemas.openxmlformats.org/officeDocument/2006/relationships/printerSettings" Target="../printerSettings/printerSettings179.bin"/><Relationship Id="rId5" Type="http://schemas.openxmlformats.org/officeDocument/2006/relationships/printerSettings" Target="../printerSettings/printerSettings178.bin"/><Relationship Id="rId4" Type="http://schemas.openxmlformats.org/officeDocument/2006/relationships/printerSettings" Target="../printerSettings/printerSettings177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2.bin"/><Relationship Id="rId2" Type="http://schemas.openxmlformats.org/officeDocument/2006/relationships/printerSettings" Target="../printerSettings/printerSettings181.bin"/><Relationship Id="rId1" Type="http://schemas.openxmlformats.org/officeDocument/2006/relationships/printerSettings" Target="../printerSettings/printerSettings180.bin"/><Relationship Id="rId6" Type="http://schemas.openxmlformats.org/officeDocument/2006/relationships/printerSettings" Target="../printerSettings/printerSettings185.bin"/><Relationship Id="rId5" Type="http://schemas.openxmlformats.org/officeDocument/2006/relationships/printerSettings" Target="../printerSettings/printerSettings184.bin"/><Relationship Id="rId4" Type="http://schemas.openxmlformats.org/officeDocument/2006/relationships/printerSettings" Target="../printerSettings/printerSettings18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8.bin"/><Relationship Id="rId2" Type="http://schemas.openxmlformats.org/officeDocument/2006/relationships/printerSettings" Target="../printerSettings/printerSettings187.bin"/><Relationship Id="rId1" Type="http://schemas.openxmlformats.org/officeDocument/2006/relationships/printerSettings" Target="../printerSettings/printerSettings186.bin"/><Relationship Id="rId6" Type="http://schemas.openxmlformats.org/officeDocument/2006/relationships/printerSettings" Target="../printerSettings/printerSettings191.bin"/><Relationship Id="rId5" Type="http://schemas.openxmlformats.org/officeDocument/2006/relationships/printerSettings" Target="../printerSettings/printerSettings190.bin"/><Relationship Id="rId4" Type="http://schemas.openxmlformats.org/officeDocument/2006/relationships/printerSettings" Target="../printerSettings/printerSettings189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93.bin"/><Relationship Id="rId1" Type="http://schemas.openxmlformats.org/officeDocument/2006/relationships/printerSettings" Target="../printerSettings/printerSettings192.bin"/><Relationship Id="rId6" Type="http://schemas.openxmlformats.org/officeDocument/2006/relationships/printerSettings" Target="../printerSettings/printerSettings197.bin"/><Relationship Id="rId5" Type="http://schemas.openxmlformats.org/officeDocument/2006/relationships/printerSettings" Target="../printerSettings/printerSettings196.bin"/><Relationship Id="rId4" Type="http://schemas.openxmlformats.org/officeDocument/2006/relationships/printerSettings" Target="../printerSettings/printerSettings19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0.bin"/><Relationship Id="rId2" Type="http://schemas.openxmlformats.org/officeDocument/2006/relationships/printerSettings" Target="../printerSettings/printerSettings199.bin"/><Relationship Id="rId1" Type="http://schemas.openxmlformats.org/officeDocument/2006/relationships/printerSettings" Target="../printerSettings/printerSettings198.bin"/><Relationship Id="rId6" Type="http://schemas.openxmlformats.org/officeDocument/2006/relationships/printerSettings" Target="../printerSettings/printerSettings203.bin"/><Relationship Id="rId5" Type="http://schemas.openxmlformats.org/officeDocument/2006/relationships/printerSettings" Target="../printerSettings/printerSettings202.bin"/><Relationship Id="rId4" Type="http://schemas.openxmlformats.org/officeDocument/2006/relationships/printerSettings" Target="../printerSettings/printerSettings201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6.bin"/><Relationship Id="rId2" Type="http://schemas.openxmlformats.org/officeDocument/2006/relationships/printerSettings" Target="../printerSettings/printerSettings205.bin"/><Relationship Id="rId1" Type="http://schemas.openxmlformats.org/officeDocument/2006/relationships/printerSettings" Target="../printerSettings/printerSettings204.bin"/><Relationship Id="rId6" Type="http://schemas.openxmlformats.org/officeDocument/2006/relationships/printerSettings" Target="../printerSettings/printerSettings209.bin"/><Relationship Id="rId5" Type="http://schemas.openxmlformats.org/officeDocument/2006/relationships/printerSettings" Target="../printerSettings/printerSettings208.bin"/><Relationship Id="rId4" Type="http://schemas.openxmlformats.org/officeDocument/2006/relationships/printerSettings" Target="../printerSettings/printerSettings20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2.bin"/><Relationship Id="rId2" Type="http://schemas.openxmlformats.org/officeDocument/2006/relationships/printerSettings" Target="../printerSettings/printerSettings211.bin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5" Type="http://schemas.openxmlformats.org/officeDocument/2006/relationships/printerSettings" Target="../printerSettings/printerSettings214.bin"/><Relationship Id="rId4" Type="http://schemas.openxmlformats.org/officeDocument/2006/relationships/printerSettings" Target="../printerSettings/printerSettings213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8.bin"/><Relationship Id="rId2" Type="http://schemas.openxmlformats.org/officeDocument/2006/relationships/printerSettings" Target="../printerSettings/printerSettings217.bin"/><Relationship Id="rId1" Type="http://schemas.openxmlformats.org/officeDocument/2006/relationships/printerSettings" Target="../printerSettings/printerSettings216.bin"/><Relationship Id="rId6" Type="http://schemas.openxmlformats.org/officeDocument/2006/relationships/printerSettings" Target="../printerSettings/printerSettings221.bin"/><Relationship Id="rId5" Type="http://schemas.openxmlformats.org/officeDocument/2006/relationships/printerSettings" Target="../printerSettings/printerSettings220.bin"/><Relationship Id="rId4" Type="http://schemas.openxmlformats.org/officeDocument/2006/relationships/printerSettings" Target="../printerSettings/printerSettings21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4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5" Type="http://schemas.openxmlformats.org/officeDocument/2006/relationships/printerSettings" Target="../printerSettings/printerSettings226.bin"/><Relationship Id="rId4" Type="http://schemas.openxmlformats.org/officeDocument/2006/relationships/printerSettings" Target="../printerSettings/printerSettings22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1.bin"/><Relationship Id="rId2" Type="http://schemas.openxmlformats.org/officeDocument/2006/relationships/printerSettings" Target="../printerSettings/printerSettings230.bin"/><Relationship Id="rId1" Type="http://schemas.openxmlformats.org/officeDocument/2006/relationships/printerSettings" Target="../printerSettings/printerSettings229.bin"/><Relationship Id="rId6" Type="http://schemas.openxmlformats.org/officeDocument/2006/relationships/printerSettings" Target="../printerSettings/printerSettings234.bin"/><Relationship Id="rId5" Type="http://schemas.openxmlformats.org/officeDocument/2006/relationships/printerSettings" Target="../printerSettings/printerSettings233.bin"/><Relationship Id="rId4" Type="http://schemas.openxmlformats.org/officeDocument/2006/relationships/printerSettings" Target="../printerSettings/printerSettings23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theme="0" tint="-0.249977111117893"/>
  </sheetPr>
  <dimension ref="A1"/>
  <sheetViews>
    <sheetView showGridLines="0" view="pageBreakPreview" zoomScale="85" zoomScaleNormal="100" zoomScaleSheetLayoutView="85" workbookViewId="0">
      <selection activeCell="A27" sqref="A27"/>
    </sheetView>
  </sheetViews>
  <sheetFormatPr defaultColWidth="9.1796875" defaultRowHeight="13.5"/>
  <cols>
    <col min="1" max="1" width="207.1796875" style="139" bestFit="1" customWidth="1"/>
    <col min="2" max="2" width="17" style="139" bestFit="1" customWidth="1"/>
    <col min="3" max="3" width="29.7265625" style="139" bestFit="1" customWidth="1"/>
    <col min="4" max="4" width="15.81640625" style="139" bestFit="1" customWidth="1"/>
    <col min="5" max="6" width="9.1796875" style="139"/>
    <col min="7" max="7" width="15.81640625" style="139" bestFit="1" customWidth="1"/>
    <col min="8" max="16384" width="9.1796875" style="139"/>
  </cols>
  <sheetData/>
  <customSheetViews>
    <customSheetView guid="{7D072CBA-4F2D-4FAE-88D9-B6A678BA20E4}" scale="85" showPageBreaks="1" showGridLines="0" printArea="1" state="hidden" view="pageBreakPreview">
      <selection activeCell="A27" sqref="A27"/>
      <pageMargins left="0.511811024" right="0.511811024" top="0.78740157499999996" bottom="0.78740157499999996" header="0.31496062000000002" footer="0.31496062000000002"/>
      <pageSetup paperSize="9" scale="48" orientation="portrait" r:id="rId1"/>
    </customSheetView>
    <customSheetView guid="{418E0683-5E85-4E09-83DB-7513FB73C39E}" scale="85" showPageBreaks="1" showGridLines="0" printArea="1" state="hidden" view="pageBreakPreview">
      <selection activeCell="A27" sqref="A27"/>
      <pageMargins left="0.511811024" right="0.511811024" top="0.78740157499999996" bottom="0.78740157499999996" header="0.31496062000000002" footer="0.31496062000000002"/>
      <pageSetup paperSize="9" scale="48" orientation="portrait" r:id="rId2"/>
    </customSheetView>
  </customSheetViews>
  <pageMargins left="0.511811024" right="0.511811024" top="0.78740157499999996" bottom="0.78740157499999996" header="0.31496062000000002" footer="0.31496062000000002"/>
  <pageSetup paperSize="9" scale="48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0" tint="-0.249977111117893"/>
  </sheetPr>
  <dimension ref="A1"/>
  <sheetViews>
    <sheetView workbookViewId="0"/>
  </sheetViews>
  <sheetFormatPr defaultRowHeight="12.5"/>
  <sheetData/>
  <customSheetViews>
    <customSheetView guid="{7D072CBA-4F2D-4FAE-88D9-B6A678BA20E4}" state="hidden">
      <pageMargins left="0.511811024" right="0.511811024" top="0.78740157499999996" bottom="0.78740157499999996" header="0.31496062000000002" footer="0.31496062000000002"/>
    </customSheetView>
    <customSheetView guid="{418E0683-5E85-4E09-83DB-7513FB73C39E}" state="hidden">
      <pageMargins left="0.511811024" right="0.511811024" top="0.78740157499999996" bottom="0.78740157499999996" header="0.31496062000000002" footer="0.31496062000000002"/>
    </customSheetView>
  </customSheetView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FF0000"/>
  </sheetPr>
  <dimension ref="A1:AR96"/>
  <sheetViews>
    <sheetView view="pageBreakPreview" topLeftCell="A82" zoomScale="118" zoomScaleNormal="100" zoomScaleSheetLayoutView="118" workbookViewId="0">
      <selection activeCell="C11" sqref="C11"/>
    </sheetView>
  </sheetViews>
  <sheetFormatPr defaultColWidth="8.81640625" defaultRowHeight="12.5"/>
  <cols>
    <col min="1" max="1" width="16.1796875" style="138" customWidth="1"/>
    <col min="2" max="2" width="47.81640625" style="138" bestFit="1" customWidth="1"/>
    <col min="3" max="3" width="23.1796875" style="138" customWidth="1"/>
    <col min="4" max="4" width="17.26953125" style="138" customWidth="1"/>
    <col min="5" max="5" width="8.81640625" style="137"/>
    <col min="6" max="6" width="22.1796875" style="137" customWidth="1"/>
    <col min="7" max="7" width="18.1796875" style="137" customWidth="1"/>
    <col min="8" max="8" width="16.54296875" style="137" customWidth="1"/>
    <col min="9" max="44" width="8.81640625" style="137"/>
    <col min="45" max="16384" width="8.81640625" style="138"/>
  </cols>
  <sheetData>
    <row r="1" spans="1:44" ht="14.5" thickBot="1">
      <c r="A1" s="618" t="e" cm="1">
        <f t="array" ref="A1">A1:D3ERAL</f>
        <v>#NAME?</v>
      </c>
      <c r="B1" s="618"/>
      <c r="C1" s="618"/>
      <c r="D1" s="618"/>
    </row>
    <row r="2" spans="1:44" ht="14.5" thickBot="1">
      <c r="A2" s="626" t="s">
        <v>426</v>
      </c>
      <c r="B2" s="628" t="s">
        <v>399</v>
      </c>
      <c r="C2" s="630" t="s">
        <v>427</v>
      </c>
      <c r="D2" s="631"/>
      <c r="F2" s="622"/>
      <c r="G2" s="622"/>
      <c r="H2" s="622"/>
      <c r="AO2" s="138"/>
      <c r="AP2" s="138"/>
      <c r="AQ2" s="138"/>
      <c r="AR2" s="138"/>
    </row>
    <row r="3" spans="1:44" ht="49.5" customHeight="1" thickBot="1">
      <c r="A3" s="627"/>
      <c r="B3" s="629"/>
      <c r="C3" s="358" t="s">
        <v>533</v>
      </c>
      <c r="D3" s="359" t="s">
        <v>588</v>
      </c>
      <c r="F3" s="362"/>
      <c r="G3" s="362"/>
      <c r="H3" s="363"/>
      <c r="AO3" s="138"/>
      <c r="AP3" s="138"/>
      <c r="AQ3" s="138"/>
      <c r="AR3" s="138"/>
    </row>
    <row r="4" spans="1:44" ht="14">
      <c r="A4" s="392">
        <f>'Recepção (40h) '!E16</f>
        <v>1</v>
      </c>
      <c r="B4" s="393" t="s">
        <v>356</v>
      </c>
      <c r="C4" s="394">
        <f>'Recepção (40h) '!I153</f>
        <v>5868.8657000000003</v>
      </c>
      <c r="D4" s="390">
        <f>'Recepção (40h) '!I154</f>
        <v>70426.388399999996</v>
      </c>
      <c r="AO4" s="138"/>
      <c r="AP4" s="138"/>
      <c r="AQ4" s="138"/>
      <c r="AR4" s="138"/>
    </row>
    <row r="5" spans="1:44" ht="14">
      <c r="A5" s="392">
        <f>'Motorista 1 (44h) '!E16</f>
        <v>1</v>
      </c>
      <c r="B5" s="393" t="s">
        <v>552</v>
      </c>
      <c r="C5" s="394">
        <f>'Motorista 1 (44h) '!I153</f>
        <v>7033.71</v>
      </c>
      <c r="D5" s="390">
        <f>'Motorista 1 (44h) '!I154</f>
        <v>84404.52</v>
      </c>
      <c r="AO5" s="138"/>
      <c r="AP5" s="138"/>
      <c r="AQ5" s="138"/>
      <c r="AR5" s="138"/>
    </row>
    <row r="6" spans="1:44" ht="14">
      <c r="A6" s="392">
        <f>'Motorista 2 (44h)  '!E16</f>
        <v>1</v>
      </c>
      <c r="B6" s="393" t="s">
        <v>553</v>
      </c>
      <c r="C6" s="394">
        <f>'Motorista 2 (44h)  '!I153</f>
        <v>7033.71</v>
      </c>
      <c r="D6" s="390">
        <f>'Motorista 2 (44h)  '!I154</f>
        <v>84404.52</v>
      </c>
      <c r="AO6" s="138"/>
      <c r="AP6" s="138"/>
      <c r="AQ6" s="138"/>
      <c r="AR6" s="138"/>
    </row>
    <row r="7" spans="1:44" ht="14">
      <c r="A7" s="392">
        <f>'Recepção (40h) '!E16</f>
        <v>1</v>
      </c>
      <c r="B7" s="393" t="s">
        <v>577</v>
      </c>
      <c r="C7" s="394">
        <f>'Portaria Diurno SEDE (40h)'!I152</f>
        <v>6015.0150000000003</v>
      </c>
      <c r="D7" s="390">
        <f>'Portaria Diurno SEDE (40h)'!I153</f>
        <v>72180.179999999993</v>
      </c>
      <c r="AO7" s="138"/>
      <c r="AP7" s="138"/>
      <c r="AQ7" s="138"/>
      <c r="AR7" s="138"/>
    </row>
    <row r="8" spans="1:44" ht="14">
      <c r="A8" s="392">
        <f>'Recepção (40h) '!E16</f>
        <v>1</v>
      </c>
      <c r="B8" s="393" t="s">
        <v>578</v>
      </c>
      <c r="C8" s="394">
        <f>'Portaria Diurno Temp. SED (40h)'!I152</f>
        <v>6015.0150000000003</v>
      </c>
      <c r="D8" s="390">
        <f>'Portaria Diurno Temp. SED (40h)'!I153</f>
        <v>6015.0150000000003</v>
      </c>
      <c r="E8" s="138"/>
      <c r="AO8" s="138"/>
      <c r="AP8" s="138"/>
      <c r="AQ8" s="138"/>
      <c r="AR8" s="138"/>
    </row>
    <row r="9" spans="1:44" ht="14">
      <c r="A9" s="392">
        <f>'Portaria Diurno Mgá (40h) '!E16</f>
        <v>1</v>
      </c>
      <c r="B9" s="393" t="s">
        <v>581</v>
      </c>
      <c r="C9" s="394">
        <f>'Portaria Diurno Mgá (40h) '!I153</f>
        <v>6012.0685000000003</v>
      </c>
      <c r="D9" s="390">
        <f>'Portaria Diurno Mgá (40h) '!I154</f>
        <v>72144.822</v>
      </c>
      <c r="AO9" s="138"/>
      <c r="AP9" s="138"/>
      <c r="AQ9" s="138"/>
      <c r="AR9" s="138"/>
    </row>
    <row r="10" spans="1:44" ht="14">
      <c r="A10" s="392">
        <f>'Aux. Manut. Pred. (40h) '!E16</f>
        <v>1</v>
      </c>
      <c r="B10" s="393" t="s">
        <v>582</v>
      </c>
      <c r="C10" s="394">
        <f>'Aux. Manut. Pred. (40h) '!I153</f>
        <v>5003.2318999999998</v>
      </c>
      <c r="D10" s="390">
        <f>'Aux. Manut. Pred. (40h) '!I154</f>
        <v>60038.782800000001</v>
      </c>
      <c r="AO10" s="138"/>
      <c r="AP10" s="138"/>
      <c r="AQ10" s="138"/>
      <c r="AR10" s="138"/>
    </row>
    <row r="11" spans="1:44" ht="14">
      <c r="A11" s="392">
        <f>'Supervisor '!E16</f>
        <v>1</v>
      </c>
      <c r="B11" s="393" t="s">
        <v>494</v>
      </c>
      <c r="C11" s="394">
        <f>'Supervisor '!I153</f>
        <v>7536.3797000000004</v>
      </c>
      <c r="D11" s="390">
        <f>'Supervisor '!I154</f>
        <v>90436.556400000001</v>
      </c>
      <c r="AO11" s="138"/>
      <c r="AP11" s="138"/>
      <c r="AQ11" s="138"/>
      <c r="AR11" s="138"/>
    </row>
    <row r="12" spans="1:44" ht="14">
      <c r="A12" s="395">
        <f>'Limpeza Sede Administrativa '!E16</f>
        <v>2</v>
      </c>
      <c r="B12" s="393" t="s">
        <v>360</v>
      </c>
      <c r="C12" s="394">
        <f>'Limpeza Sede Administrativa '!I172</f>
        <v>11929.736199999999</v>
      </c>
      <c r="D12" s="390">
        <f>'Limpeza Sede Administrativa '!I175</f>
        <v>143156.83439999999</v>
      </c>
      <c r="AO12" s="138"/>
      <c r="AP12" s="138"/>
      <c r="AQ12" s="138"/>
      <c r="AR12" s="138"/>
    </row>
    <row r="13" spans="1:44" ht="14">
      <c r="A13" s="392">
        <f>'Limpeza Regional Curitiba'!E16</f>
        <v>2</v>
      </c>
      <c r="B13" s="393" t="s">
        <v>361</v>
      </c>
      <c r="C13" s="394">
        <f>'Limpeza Regional Curitiba'!I172</f>
        <v>12025.856100000001</v>
      </c>
      <c r="D13" s="390">
        <f>'Limpeza Regional Curitiba'!I175</f>
        <v>144310.2732</v>
      </c>
      <c r="AO13" s="138"/>
      <c r="AP13" s="138"/>
      <c r="AQ13" s="138"/>
      <c r="AR13" s="138"/>
    </row>
    <row r="14" spans="1:44" ht="14">
      <c r="A14" s="392">
        <f>'Limpeza Regional Apucarana '!E16</f>
        <v>1</v>
      </c>
      <c r="B14" s="393" t="s">
        <v>365</v>
      </c>
      <c r="C14" s="394">
        <f>'Limpeza Regional Apucarana '!I172</f>
        <v>7547.0012999999999</v>
      </c>
      <c r="D14" s="390">
        <f>'Limpeza Regional Apucarana '!I175</f>
        <v>90564.015599999999</v>
      </c>
      <c r="AO14" s="138"/>
      <c r="AP14" s="138"/>
      <c r="AQ14" s="138"/>
      <c r="AR14" s="138"/>
    </row>
    <row r="15" spans="1:44" ht="14">
      <c r="A15" s="392">
        <f>'Limpeza Regional Cascavel'!E16</f>
        <v>1</v>
      </c>
      <c r="B15" s="393" t="s">
        <v>531</v>
      </c>
      <c r="C15" s="394">
        <f>'Limpeza Regional Cascavel'!I172</f>
        <v>3339.9798999999998</v>
      </c>
      <c r="D15" s="390">
        <f>'Limpeza Regional Cascavel'!I175</f>
        <v>6679.9597999999996</v>
      </c>
      <c r="AO15" s="138"/>
      <c r="AP15" s="138"/>
      <c r="AQ15" s="138"/>
      <c r="AR15" s="138"/>
    </row>
    <row r="16" spans="1:44" ht="14">
      <c r="A16" s="392">
        <f>'Limpeza Regional Guarapuava '!E16</f>
        <v>1</v>
      </c>
      <c r="B16" s="393" t="s">
        <v>362</v>
      </c>
      <c r="C16" s="394">
        <f>'Limpeza Regional Guarapuava '!I151</f>
        <v>5281.1935000000003</v>
      </c>
      <c r="D16" s="390">
        <f>'Limpeza Regional Guarapuava '!I154</f>
        <v>63374.322</v>
      </c>
      <c r="AO16" s="138"/>
      <c r="AP16" s="138"/>
      <c r="AQ16" s="138"/>
      <c r="AR16" s="138"/>
    </row>
    <row r="17" spans="1:44" ht="14">
      <c r="A17" s="392">
        <f>'Limpeza Regional Londrina'!E16</f>
        <v>1</v>
      </c>
      <c r="B17" s="393" t="s">
        <v>366</v>
      </c>
      <c r="C17" s="394">
        <f>'Limpeza Regional Londrina'!I172</f>
        <v>7557.2870000000003</v>
      </c>
      <c r="D17" s="390">
        <f>'Limpeza Regional Londrina'!I175</f>
        <v>90687.444000000003</v>
      </c>
      <c r="AO17" s="138"/>
      <c r="AP17" s="138"/>
      <c r="AQ17" s="138"/>
      <c r="AR17" s="138"/>
    </row>
    <row r="18" spans="1:44" ht="14">
      <c r="A18" s="392">
        <f>'Limpeza Regional Maringá'!E16</f>
        <v>2</v>
      </c>
      <c r="B18" s="393" t="s">
        <v>364</v>
      </c>
      <c r="C18" s="394">
        <f>'Limpeza Regional Maringá'!I172</f>
        <v>17497.021499999999</v>
      </c>
      <c r="D18" s="390">
        <f>'Limpeza Regional Maringá'!I175</f>
        <v>209964.258</v>
      </c>
      <c r="AO18" s="138"/>
      <c r="AP18" s="138"/>
      <c r="AQ18" s="138"/>
      <c r="AR18" s="138"/>
    </row>
    <row r="19" spans="1:44" ht="13.9" customHeight="1">
      <c r="A19" s="392">
        <f>'Limpeza Regional Pato Branco '!E16</f>
        <v>1</v>
      </c>
      <c r="B19" s="393" t="s">
        <v>363</v>
      </c>
      <c r="C19" s="394">
        <f>'Limpeza Regional Pato Branco '!I151</f>
        <v>5026.4058000000005</v>
      </c>
      <c r="D19" s="390">
        <f>'Limpeza Regional Pato Branco '!I154</f>
        <v>60316.869599999998</v>
      </c>
      <c r="AO19" s="138"/>
      <c r="AP19" s="138"/>
      <c r="AQ19" s="138"/>
      <c r="AR19" s="138"/>
    </row>
    <row r="20" spans="1:44" ht="14">
      <c r="A20" s="392">
        <f>'Limpeza Regional Ponta Gros '!E16</f>
        <v>1</v>
      </c>
      <c r="B20" s="393" t="s">
        <v>367</v>
      </c>
      <c r="C20" s="394">
        <f>'Limpeza Regional Ponta Gros '!I172</f>
        <v>5791.6738999999998</v>
      </c>
      <c r="D20" s="390">
        <f>'Limpeza Regional Ponta Gros '!I175</f>
        <v>69500.086800000005</v>
      </c>
      <c r="AO20" s="138"/>
      <c r="AP20" s="138"/>
      <c r="AQ20" s="138"/>
      <c r="AR20" s="138"/>
    </row>
    <row r="21" spans="1:44" ht="14">
      <c r="A21" s="392">
        <f>'Limpeza Água Verde '!E16</f>
        <v>1</v>
      </c>
      <c r="B21" s="393" t="s">
        <v>574</v>
      </c>
      <c r="C21" s="394">
        <f>'Limpeza Água Verde '!I151</f>
        <v>2037.3395</v>
      </c>
      <c r="D21" s="390">
        <f>'Limpeza Água Verde '!I154</f>
        <v>24448.074000000001</v>
      </c>
      <c r="AO21" s="138"/>
      <c r="AP21" s="138"/>
      <c r="AQ21" s="138"/>
      <c r="AR21" s="138"/>
    </row>
    <row r="22" spans="1:44" ht="14">
      <c r="A22" s="392">
        <f>'Limpeza Insp Arapongas '!E16</f>
        <v>1</v>
      </c>
      <c r="B22" s="393" t="s">
        <v>368</v>
      </c>
      <c r="C22" s="394">
        <f>'Limpeza Insp Arapongas '!I151</f>
        <v>1993.3833999999999</v>
      </c>
      <c r="D22" s="390">
        <f>'Limpeza Insp Arapongas '!I154</f>
        <v>23920.6008</v>
      </c>
      <c r="AO22" s="138"/>
      <c r="AP22" s="138"/>
      <c r="AQ22" s="138"/>
      <c r="AR22" s="138"/>
    </row>
    <row r="23" spans="1:44" ht="14">
      <c r="A23" s="392">
        <f>'Limpeza Insp Bandeirantes'!E16</f>
        <v>1</v>
      </c>
      <c r="B23" s="393" t="s">
        <v>369</v>
      </c>
      <c r="C23" s="394">
        <f>'Limpeza Insp Bandeirantes'!I151</f>
        <v>1865.3767</v>
      </c>
      <c r="D23" s="390">
        <f>'Limpeza Insp Bandeirantes'!I154</f>
        <v>22384.520400000001</v>
      </c>
      <c r="AO23" s="138"/>
      <c r="AP23" s="138"/>
      <c r="AQ23" s="138"/>
      <c r="AR23" s="138"/>
    </row>
    <row r="24" spans="1:44" ht="14">
      <c r="A24" s="392">
        <f>'Limpeza Insp Campo Largo'!E16</f>
        <v>1</v>
      </c>
      <c r="B24" s="393" t="s">
        <v>370</v>
      </c>
      <c r="C24" s="394">
        <f>'Limpeza Insp Campo Largo'!I151</f>
        <v>1991.9733000000001</v>
      </c>
      <c r="D24" s="390">
        <f>'Limpeza Insp Campo Largo'!I154</f>
        <v>23903.679599999999</v>
      </c>
      <c r="AO24" s="138"/>
      <c r="AP24" s="138"/>
      <c r="AQ24" s="138"/>
      <c r="AR24" s="138"/>
    </row>
    <row r="25" spans="1:44" ht="14">
      <c r="A25" s="392">
        <f>'Limpeza Insp Campo Mourão'!E16</f>
        <v>1</v>
      </c>
      <c r="B25" s="393" t="s">
        <v>371</v>
      </c>
      <c r="C25" s="394">
        <f>'Limpeza Insp Campo Mourão'!I151</f>
        <v>1995.4951000000001</v>
      </c>
      <c r="D25" s="390">
        <f>'Limpeza Insp Campo Mourão'!I154</f>
        <v>23945.941200000001</v>
      </c>
      <c r="AO25" s="138"/>
      <c r="AP25" s="138"/>
      <c r="AQ25" s="138"/>
      <c r="AR25" s="138"/>
    </row>
    <row r="26" spans="1:44" ht="14">
      <c r="A26" s="392">
        <f>'Limpeza Insp Castro'!E16</f>
        <v>1</v>
      </c>
      <c r="B26" s="393" t="s">
        <v>372</v>
      </c>
      <c r="C26" s="394">
        <f>'Limpeza Insp Castro'!I151</f>
        <v>1959.2807</v>
      </c>
      <c r="D26" s="390">
        <f>'Limpeza Insp Castro'!I154</f>
        <v>23511.368399999999</v>
      </c>
      <c r="AO26" s="138"/>
      <c r="AP26" s="138"/>
      <c r="AQ26" s="138"/>
      <c r="AR26" s="138"/>
    </row>
    <row r="27" spans="1:44" ht="14">
      <c r="A27" s="392">
        <f>'Limpeza Insp Cianorte'!E16</f>
        <v>1</v>
      </c>
      <c r="B27" s="393" t="s">
        <v>373</v>
      </c>
      <c r="C27" s="394">
        <f>'Limpeza Insp Cianorte'!I151</f>
        <v>2002.1768999999999</v>
      </c>
      <c r="D27" s="390">
        <f>'Limpeza Insp Cianorte'!I154</f>
        <v>24026.122800000001</v>
      </c>
      <c r="AO27" s="138"/>
      <c r="AP27" s="138"/>
      <c r="AQ27" s="138"/>
      <c r="AR27" s="138"/>
    </row>
    <row r="28" spans="1:44" ht="14">
      <c r="A28" s="392">
        <f>'Limpeza Insp Cornélio Proc.'!E16</f>
        <v>1</v>
      </c>
      <c r="B28" s="393" t="s">
        <v>374</v>
      </c>
      <c r="C28" s="394">
        <f>'Limpeza Insp Cornélio Proc.'!I151</f>
        <v>2054.9263000000001</v>
      </c>
      <c r="D28" s="390">
        <f>'Limpeza Insp Cornélio Proc.'!I154</f>
        <v>24659.115600000001</v>
      </c>
      <c r="AO28" s="138"/>
      <c r="AP28" s="138"/>
      <c r="AQ28" s="138"/>
      <c r="AR28" s="138"/>
    </row>
    <row r="29" spans="1:44" ht="14">
      <c r="A29" s="392">
        <f>'Limpeza Insp Foz do Iguaçu'!E16</f>
        <v>1</v>
      </c>
      <c r="B29" s="393" t="s">
        <v>375</v>
      </c>
      <c r="C29" s="394">
        <f>'Limpeza Insp Foz do Iguaçu'!I151</f>
        <v>1980.4965</v>
      </c>
      <c r="D29" s="390">
        <f>'Limpeza Insp Foz do Iguaçu'!I154</f>
        <v>23765.957999999999</v>
      </c>
      <c r="AO29" s="138"/>
      <c r="AP29" s="138"/>
      <c r="AQ29" s="138"/>
      <c r="AR29" s="138"/>
    </row>
    <row r="30" spans="1:44" ht="14">
      <c r="A30" s="392">
        <f>'Limpeza Insp Francisco Belt.'!E16</f>
        <v>1</v>
      </c>
      <c r="B30" s="393" t="s">
        <v>376</v>
      </c>
      <c r="C30" s="394">
        <f>'Limpeza Insp Francisco Belt.'!I151</f>
        <v>1945.1757</v>
      </c>
      <c r="D30" s="390">
        <f>'Limpeza Insp Francisco Belt.'!I154</f>
        <v>23342.108400000001</v>
      </c>
      <c r="AO30" s="138"/>
      <c r="AP30" s="138"/>
      <c r="AQ30" s="138"/>
      <c r="AR30" s="138"/>
    </row>
    <row r="31" spans="1:44" ht="14">
      <c r="A31" s="392">
        <f>'Limpeza Insp Ibaiti'!E16</f>
        <v>1</v>
      </c>
      <c r="B31" s="393" t="s">
        <v>377</v>
      </c>
      <c r="C31" s="394">
        <f>'Limpeza Insp Ibaiti'!I151</f>
        <v>1855.2222999999999</v>
      </c>
      <c r="D31" s="390">
        <f>'Limpeza Insp Ibaiti'!I154</f>
        <v>22262.667600000001</v>
      </c>
      <c r="AO31" s="138"/>
      <c r="AP31" s="138"/>
      <c r="AQ31" s="138"/>
      <c r="AR31" s="138"/>
    </row>
    <row r="32" spans="1:44" ht="14">
      <c r="A32" s="392">
        <f>'Limpeza Insp Irati'!E16</f>
        <v>1</v>
      </c>
      <c r="B32" s="393" t="s">
        <v>378</v>
      </c>
      <c r="C32" s="394">
        <f>'Limpeza Insp Irati'!I151</f>
        <v>1865.3767</v>
      </c>
      <c r="D32" s="390">
        <f>'Limpeza Insp Irati'!I154</f>
        <v>22384.520400000001</v>
      </c>
      <c r="AO32" s="138"/>
      <c r="AP32" s="138"/>
      <c r="AQ32" s="138"/>
      <c r="AR32" s="138"/>
    </row>
    <row r="33" spans="1:44" ht="14">
      <c r="A33" s="392">
        <f>'Limpeza Insp Ivaiporã'!E16</f>
        <v>1</v>
      </c>
      <c r="B33" s="393" t="s">
        <v>379</v>
      </c>
      <c r="C33" s="394">
        <f>'Limpeza Insp Ivaiporã'!I151</f>
        <v>1845.1777999999999</v>
      </c>
      <c r="D33" s="390">
        <f>'Limpeza Insp Ivaiporã'!I154</f>
        <v>22142.133600000001</v>
      </c>
      <c r="AO33" s="138"/>
      <c r="AP33" s="138"/>
      <c r="AQ33" s="138"/>
      <c r="AR33" s="138"/>
    </row>
    <row r="34" spans="1:44" ht="14">
      <c r="A34" s="392">
        <f>'Limpeza Insp Jacarezinho'!E16</f>
        <v>1</v>
      </c>
      <c r="B34" s="393" t="s">
        <v>380</v>
      </c>
      <c r="C34" s="394">
        <f>'Limpeza Insp Jacarezinho'!I151</f>
        <v>1993.3833999999999</v>
      </c>
      <c r="D34" s="390">
        <f>'Limpeza Insp Jacarezinho'!I154</f>
        <v>23920.6008</v>
      </c>
      <c r="AO34" s="138"/>
      <c r="AP34" s="138"/>
      <c r="AQ34" s="138"/>
      <c r="AR34" s="138"/>
    </row>
    <row r="35" spans="1:44" ht="14">
      <c r="A35" s="392">
        <f>'Limpeza Insp Mal Cândido Ron'!E16</f>
        <v>1</v>
      </c>
      <c r="B35" s="393" t="s">
        <v>381</v>
      </c>
      <c r="C35" s="394">
        <f>'Limpeza Insp Mal Cândido Ron'!I151</f>
        <v>1825.4114999999999</v>
      </c>
      <c r="D35" s="390">
        <f>'Limpeza Insp Mal Cândido Ron'!I154</f>
        <v>21904.937999999998</v>
      </c>
      <c r="AO35" s="138"/>
      <c r="AP35" s="138"/>
      <c r="AQ35" s="138"/>
      <c r="AR35" s="138"/>
    </row>
    <row r="36" spans="1:44" ht="14">
      <c r="A36" s="392">
        <f>'Limpeza Insp Medianeira'!E16</f>
        <v>1</v>
      </c>
      <c r="B36" s="393" t="s">
        <v>382</v>
      </c>
      <c r="C36" s="394">
        <f>'Limpeza Insp Medianeira'!I151</f>
        <v>1954.1197999999999</v>
      </c>
      <c r="D36" s="390">
        <f>'Limpeza Insp Medianeira'!I154</f>
        <v>23449.437600000001</v>
      </c>
      <c r="AO36" s="138"/>
      <c r="AP36" s="138"/>
      <c r="AQ36" s="138"/>
      <c r="AR36" s="138"/>
    </row>
    <row r="37" spans="1:44" ht="14">
      <c r="A37" s="392">
        <f>'Limpeza Insp Palmas'!E16</f>
        <v>1</v>
      </c>
      <c r="B37" s="393" t="s">
        <v>383</v>
      </c>
      <c r="C37" s="394">
        <f>'Limpeza Insp Palmas'!I151</f>
        <v>1825.4114999999999</v>
      </c>
      <c r="D37" s="390">
        <f>'Limpeza Insp Palmas'!I154</f>
        <v>21904.937999999998</v>
      </c>
      <c r="AO37" s="138"/>
      <c r="AP37" s="138"/>
      <c r="AQ37" s="138"/>
      <c r="AR37" s="138"/>
    </row>
    <row r="38" spans="1:44" ht="14">
      <c r="A38" s="392">
        <f>'Limpeza Insp Paranaguá'!E16</f>
        <v>1</v>
      </c>
      <c r="B38" s="393" t="s">
        <v>384</v>
      </c>
      <c r="C38" s="394">
        <f>'Limpeza Insp Paranaguá'!I151</f>
        <v>1931.8405</v>
      </c>
      <c r="D38" s="390">
        <f>'Limpeza Insp Paranaguá'!I154</f>
        <v>23182.085999999999</v>
      </c>
      <c r="AO38" s="138"/>
      <c r="AP38" s="138"/>
      <c r="AQ38" s="138"/>
      <c r="AR38" s="138"/>
    </row>
    <row r="39" spans="1:44" ht="14">
      <c r="A39" s="392">
        <f>'Limpeza Insp Paranavaí'!E16</f>
        <v>1</v>
      </c>
      <c r="B39" s="393" t="s">
        <v>385</v>
      </c>
      <c r="C39" s="394">
        <f>'Limpeza Insp Paranavaí'!I151</f>
        <v>1983.9780000000001</v>
      </c>
      <c r="D39" s="390">
        <f>'Limpeza Insp Paranavaí'!I154</f>
        <v>23807.736000000001</v>
      </c>
      <c r="AO39" s="138"/>
      <c r="AP39" s="138"/>
      <c r="AQ39" s="138"/>
      <c r="AR39" s="138"/>
    </row>
    <row r="40" spans="1:44" ht="14">
      <c r="A40" s="392">
        <f>'Limpeza Insp Realeza'!E16</f>
        <v>1</v>
      </c>
      <c r="B40" s="393" t="s">
        <v>386</v>
      </c>
      <c r="C40" s="394">
        <f>'Limpeza Insp Realeza'!I151</f>
        <v>1825.4114999999999</v>
      </c>
      <c r="D40" s="390">
        <f>'Limpeza Insp Realeza'!I154</f>
        <v>21904.937999999998</v>
      </c>
      <c r="AO40" s="138"/>
      <c r="AP40" s="138"/>
      <c r="AQ40" s="138"/>
      <c r="AR40" s="138"/>
    </row>
    <row r="41" spans="1:44" ht="14">
      <c r="A41" s="392">
        <f>'Limpeza Insp Rio Negro'!E16</f>
        <v>1</v>
      </c>
      <c r="B41" s="393" t="s">
        <v>387</v>
      </c>
      <c r="C41" s="394">
        <f>'Limpeza Insp Rio Negro'!I151</f>
        <v>1942.0814</v>
      </c>
      <c r="D41" s="390">
        <f>'Limpeza Insp Rio Negro'!I154</f>
        <v>23304.9768</v>
      </c>
      <c r="AO41" s="138"/>
      <c r="AP41" s="138"/>
      <c r="AQ41" s="138"/>
      <c r="AR41" s="138"/>
    </row>
    <row r="42" spans="1:44" ht="14">
      <c r="A42" s="392">
        <f>'Limpeza Insp Sto Ant Platina'!E16</f>
        <v>1</v>
      </c>
      <c r="B42" s="393" t="s">
        <v>388</v>
      </c>
      <c r="C42" s="394">
        <f>'Limpeza Insp Sto Ant Platina'!I151</f>
        <v>1825.4114999999999</v>
      </c>
      <c r="D42" s="390">
        <f>'Limpeza Insp Sto Ant Platina'!I154</f>
        <v>21904.92</v>
      </c>
      <c r="AO42" s="138"/>
      <c r="AP42" s="138"/>
      <c r="AQ42" s="138"/>
      <c r="AR42" s="138"/>
    </row>
    <row r="43" spans="1:44" ht="14">
      <c r="A43" s="392">
        <f>'Limpeza Insp São José Pinhais'!E16</f>
        <v>1</v>
      </c>
      <c r="B43" s="393" t="s">
        <v>389</v>
      </c>
      <c r="C43" s="394">
        <f>'Limpeza Insp São José Pinhais'!I151</f>
        <v>2037.3395</v>
      </c>
      <c r="D43" s="390">
        <f>'Limpeza Insp São José Pinhais'!I154</f>
        <v>24448.074000000001</v>
      </c>
      <c r="AO43" s="138"/>
      <c r="AP43" s="138"/>
      <c r="AQ43" s="138"/>
      <c r="AR43" s="138"/>
    </row>
    <row r="44" spans="1:44" ht="14">
      <c r="A44" s="392">
        <f>'Limpeza Insp Telêmaco Borba'!E16</f>
        <v>1</v>
      </c>
      <c r="B44" s="393" t="s">
        <v>390</v>
      </c>
      <c r="C44" s="394">
        <f>'Limpeza Insp Telêmaco Borba'!I151</f>
        <v>2037.3395</v>
      </c>
      <c r="D44" s="390">
        <f>'Limpeza Insp Telêmaco Borba'!I154</f>
        <v>24448.074000000001</v>
      </c>
      <c r="AO44" s="138"/>
      <c r="AP44" s="138"/>
      <c r="AQ44" s="138"/>
      <c r="AR44" s="138"/>
    </row>
    <row r="45" spans="1:44" ht="14">
      <c r="A45" s="392">
        <f>'Limpeza Insp Toledo'!E16</f>
        <v>1</v>
      </c>
      <c r="B45" s="393" t="s">
        <v>391</v>
      </c>
      <c r="C45" s="394">
        <f>'Limpeza Insp Toledo'!I151</f>
        <v>1907.6505999999999</v>
      </c>
      <c r="D45" s="390">
        <f>'Limpeza Insp Toledo'!I154</f>
        <v>22891.807199999999</v>
      </c>
      <c r="AO45" s="138"/>
      <c r="AP45" s="138"/>
      <c r="AQ45" s="138"/>
      <c r="AR45" s="138"/>
    </row>
    <row r="46" spans="1:44" ht="14">
      <c r="A46" s="392">
        <f>'Limpeza Insp Umuarama'!E16</f>
        <v>1</v>
      </c>
      <c r="B46" s="393" t="s">
        <v>534</v>
      </c>
      <c r="C46" s="394">
        <f>'Limpeza Insp Umuarama'!I151</f>
        <v>1977.5618999999999</v>
      </c>
      <c r="D46" s="390">
        <f>'Limpeza Insp Umuarama'!I154</f>
        <v>23730.7428</v>
      </c>
      <c r="AO46" s="138"/>
      <c r="AP46" s="138"/>
      <c r="AQ46" s="138"/>
      <c r="AR46" s="138"/>
    </row>
    <row r="47" spans="1:44" ht="14.5" thickBot="1">
      <c r="A47" s="396">
        <f>'Limpeza Insp União Vitória'!E16</f>
        <v>1</v>
      </c>
      <c r="B47" s="397" t="s">
        <v>392</v>
      </c>
      <c r="C47" s="398">
        <f>'Limpeza Insp União Vitória'!I151</f>
        <v>1815.6864</v>
      </c>
      <c r="D47" s="389">
        <f>'Limpeza Insp União Vitória'!I154</f>
        <v>21788.236799999999</v>
      </c>
      <c r="AO47" s="138"/>
      <c r="AP47" s="138"/>
      <c r="AQ47" s="138"/>
      <c r="AR47" s="138"/>
    </row>
    <row r="48" spans="1:44" ht="14.5" thickBot="1">
      <c r="A48" s="403" t="s">
        <v>602</v>
      </c>
      <c r="B48" s="404"/>
      <c r="C48" s="405"/>
      <c r="D48" s="406">
        <f>SUM(D4:D47)</f>
        <v>2045893.1647999999</v>
      </c>
      <c r="AO48" s="138"/>
      <c r="AP48" s="138"/>
      <c r="AQ48" s="138"/>
      <c r="AR48" s="138"/>
    </row>
    <row r="49" spans="1:44" ht="14.5" thickBot="1">
      <c r="A49" s="619" t="s">
        <v>580</v>
      </c>
      <c r="B49" s="620"/>
      <c r="C49" s="620"/>
      <c r="D49" s="621"/>
      <c r="AO49" s="138"/>
      <c r="AP49" s="138"/>
      <c r="AQ49" s="138"/>
      <c r="AR49" s="138"/>
    </row>
    <row r="50" spans="1:44" ht="14">
      <c r="A50" s="392">
        <f>'Motorista 1 (44h) '!E16</f>
        <v>1</v>
      </c>
      <c r="B50" s="393" t="s">
        <v>585</v>
      </c>
      <c r="C50" s="394">
        <v>1021.8</v>
      </c>
      <c r="D50" s="390">
        <f>C50*12</f>
        <v>12261.599999999999</v>
      </c>
      <c r="AO50" s="138"/>
      <c r="AP50" s="138"/>
      <c r="AQ50" s="138"/>
      <c r="AR50" s="138"/>
    </row>
    <row r="51" spans="1:44" ht="14.5" thickBot="1">
      <c r="A51" s="392">
        <f>'Portaria Diurno Mgá (40h) '!E16</f>
        <v>1</v>
      </c>
      <c r="B51" s="393" t="s">
        <v>581</v>
      </c>
      <c r="C51" s="394">
        <v>193.61</v>
      </c>
      <c r="D51" s="390">
        <f>C51*6</f>
        <v>1161.6600000000001</v>
      </c>
      <c r="AO51" s="138"/>
      <c r="AP51" s="138"/>
      <c r="AQ51" s="138"/>
      <c r="AR51" s="138"/>
    </row>
    <row r="52" spans="1:44" ht="14.5" thickBot="1">
      <c r="A52" s="352" t="s">
        <v>24</v>
      </c>
      <c r="B52" s="360"/>
      <c r="C52" s="402"/>
      <c r="D52" s="380">
        <f>SUM(D48,D50,D51)</f>
        <v>2059316.4247999999</v>
      </c>
      <c r="E52" s="138"/>
    </row>
    <row r="53" spans="1:44" ht="14">
      <c r="A53" s="354" t="s">
        <v>530</v>
      </c>
      <c r="B53" s="2"/>
      <c r="C53" s="341"/>
      <c r="D53" s="341"/>
    </row>
    <row r="54" spans="1:44" ht="14">
      <c r="A54" s="354" t="s">
        <v>532</v>
      </c>
      <c r="B54" s="2"/>
      <c r="C54" s="341"/>
      <c r="D54" s="341"/>
    </row>
    <row r="55" spans="1:44" ht="14.5" thickBot="1">
      <c r="A55" s="354"/>
      <c r="B55" s="2"/>
      <c r="C55" s="341"/>
      <c r="D55" s="341"/>
      <c r="F55" s="623"/>
      <c r="G55" s="624"/>
      <c r="H55" s="624"/>
      <c r="I55" s="624"/>
      <c r="J55" s="624"/>
      <c r="K55" s="624"/>
      <c r="L55" s="624"/>
      <c r="M55" s="625"/>
    </row>
    <row r="56" spans="1:44" ht="70.5" thickBot="1">
      <c r="A56" s="355" t="s">
        <v>572</v>
      </c>
      <c r="B56" s="355" t="s">
        <v>575</v>
      </c>
      <c r="C56" s="358" t="s">
        <v>503</v>
      </c>
      <c r="D56" s="359" t="s">
        <v>594</v>
      </c>
    </row>
    <row r="57" spans="1:44" ht="14">
      <c r="A57" s="395">
        <v>1</v>
      </c>
      <c r="B57" s="399" t="s">
        <v>564</v>
      </c>
      <c r="C57" s="400">
        <f>'Limpeza - Materiais '!AY5</f>
        <v>4029.3591666666666</v>
      </c>
      <c r="D57" s="391">
        <f>'Limpeza - Materiais '!AX5</f>
        <v>48352.31</v>
      </c>
    </row>
    <row r="58" spans="1:44" ht="14">
      <c r="A58" s="392">
        <v>1</v>
      </c>
      <c r="B58" s="147" t="s">
        <v>565</v>
      </c>
      <c r="C58" s="176">
        <f>'Limpeza - Materiais '!AY6</f>
        <v>2468.5358333333334</v>
      </c>
      <c r="D58" s="390">
        <f>'Limpeza - Materiais '!AX6</f>
        <v>29622.43</v>
      </c>
    </row>
    <row r="59" spans="1:44" ht="14">
      <c r="A59" s="392">
        <v>1</v>
      </c>
      <c r="B59" s="147" t="s">
        <v>410</v>
      </c>
      <c r="C59" s="176">
        <f>'Limpeza - Materiais '!AY4</f>
        <v>970.93583333333333</v>
      </c>
      <c r="D59" s="390">
        <f>'Limpeza - Materiais '!AX4</f>
        <v>11651.23</v>
      </c>
    </row>
    <row r="60" spans="1:44" ht="14">
      <c r="A60" s="392">
        <v>1</v>
      </c>
      <c r="B60" s="147" t="s">
        <v>405</v>
      </c>
      <c r="C60" s="176">
        <f>'Limpeza - Materiais '!AY7</f>
        <v>862.77833333333331</v>
      </c>
      <c r="D60" s="390">
        <f>'Limpeza - Materiais '!AX7</f>
        <v>10353.34</v>
      </c>
    </row>
    <row r="61" spans="1:44" ht="14">
      <c r="A61" s="392">
        <v>1</v>
      </c>
      <c r="B61" s="147" t="s">
        <v>545</v>
      </c>
      <c r="C61" s="176">
        <f>'Limpeza - Materiais '!AY8</f>
        <v>472.25666666666666</v>
      </c>
      <c r="D61" s="390">
        <f>'Limpeza - Materiais '!AX8</f>
        <v>5667.08</v>
      </c>
    </row>
    <row r="62" spans="1:44" ht="14">
      <c r="A62" s="392">
        <v>1</v>
      </c>
      <c r="B62" s="147" t="s">
        <v>406</v>
      </c>
      <c r="C62" s="176">
        <f>'Limpeza - Materiais '!AY9</f>
        <v>1501.3958333333333</v>
      </c>
      <c r="D62" s="390">
        <f>'Limpeza - Materiais '!AX9</f>
        <v>18016.75</v>
      </c>
    </row>
    <row r="63" spans="1:44" ht="14">
      <c r="A63" s="392">
        <v>1</v>
      </c>
      <c r="B63" s="147" t="s">
        <v>407</v>
      </c>
      <c r="C63" s="176">
        <f>'Limpeza - Materiais '!AY10</f>
        <v>2236.9133333333334</v>
      </c>
      <c r="D63" s="390">
        <f>'Limpeza - Materiais '!AX10</f>
        <v>26842.959999999999</v>
      </c>
    </row>
    <row r="64" spans="1:44" ht="14">
      <c r="A64" s="392">
        <v>1</v>
      </c>
      <c r="B64" s="147" t="s">
        <v>408</v>
      </c>
      <c r="C64" s="176">
        <f>'Limpeza - Materiais '!AY11</f>
        <v>604.00333333333333</v>
      </c>
      <c r="D64" s="390">
        <f>'Limpeza - Materiais '!AX11</f>
        <v>7248.04</v>
      </c>
    </row>
    <row r="65" spans="1:4" ht="14">
      <c r="A65" s="392">
        <v>1</v>
      </c>
      <c r="B65" s="147" t="s">
        <v>409</v>
      </c>
      <c r="C65" s="176">
        <f>'Limpeza - Materiais '!AY12</f>
        <v>1071.8975</v>
      </c>
      <c r="D65" s="390">
        <f>'Limpeza - Materiais '!AX12</f>
        <v>12862.77</v>
      </c>
    </row>
    <row r="66" spans="1:4" ht="14">
      <c r="A66" s="392">
        <v>1</v>
      </c>
      <c r="B66" s="147" t="s">
        <v>573</v>
      </c>
      <c r="C66" s="176">
        <f>'Limpeza - Materiais '!AY31</f>
        <v>160.51916666666668</v>
      </c>
      <c r="D66" s="390">
        <f>'Limpeza - Materiais '!AX31</f>
        <v>1926.23</v>
      </c>
    </row>
    <row r="67" spans="1:4" ht="14">
      <c r="A67" s="392">
        <v>1</v>
      </c>
      <c r="B67" s="147" t="s">
        <v>474</v>
      </c>
      <c r="C67" s="176">
        <f>'Limpeza - Materiais '!AY13</f>
        <v>158.09416666666667</v>
      </c>
      <c r="D67" s="390">
        <f>'Limpeza - Materiais '!AX13</f>
        <v>1897.13</v>
      </c>
    </row>
    <row r="68" spans="1:4" ht="14">
      <c r="A68" s="392">
        <v>1</v>
      </c>
      <c r="B68" s="147" t="s">
        <v>475</v>
      </c>
      <c r="C68" s="176">
        <f>'Limpeza - Materiais '!AY14</f>
        <v>195.03749999999999</v>
      </c>
      <c r="D68" s="390">
        <f>'Limpeza - Materiais '!AX14</f>
        <v>2340.4499999999998</v>
      </c>
    </row>
    <row r="69" spans="1:4" ht="14">
      <c r="A69" s="392">
        <v>1</v>
      </c>
      <c r="B69" s="147" t="s">
        <v>476</v>
      </c>
      <c r="C69" s="176">
        <f>'Limpeza - Materiais '!AY15</f>
        <v>136.19333333333333</v>
      </c>
      <c r="D69" s="390">
        <f>'Limpeza - Materiais '!AX15</f>
        <v>1634.32</v>
      </c>
    </row>
    <row r="70" spans="1:4" ht="14">
      <c r="A70" s="392">
        <v>1</v>
      </c>
      <c r="B70" s="147" t="s">
        <v>477</v>
      </c>
      <c r="C70" s="176">
        <f>'Limpeza - Materiais '!AY16</f>
        <v>130.26416666666668</v>
      </c>
      <c r="D70" s="390">
        <f>'Limpeza - Materiais '!AX16</f>
        <v>1563.17</v>
      </c>
    </row>
    <row r="71" spans="1:4" ht="14">
      <c r="A71" s="392">
        <v>1</v>
      </c>
      <c r="B71" s="147" t="s">
        <v>478</v>
      </c>
      <c r="C71" s="176">
        <f>'Limpeza - Materiais '!AY17</f>
        <v>124.75666666666666</v>
      </c>
      <c r="D71" s="390">
        <f>'Limpeza - Materiais '!AX17</f>
        <v>1497.08</v>
      </c>
    </row>
    <row r="72" spans="1:4" ht="14">
      <c r="A72" s="392">
        <v>1</v>
      </c>
      <c r="B72" s="147" t="s">
        <v>479</v>
      </c>
      <c r="C72" s="176">
        <f>'Limpeza - Materiais '!AY18</f>
        <v>212.95833333333334</v>
      </c>
      <c r="D72" s="390">
        <f>'Limpeza - Materiais '!AX18</f>
        <v>2555.5</v>
      </c>
    </row>
    <row r="73" spans="1:4" ht="14">
      <c r="A73" s="392">
        <v>1</v>
      </c>
      <c r="B73" s="147" t="s">
        <v>480</v>
      </c>
      <c r="C73" s="176">
        <f>'Limpeza - Materiais '!AY19</f>
        <v>173.43166666666664</v>
      </c>
      <c r="D73" s="390">
        <f>'Limpeza - Materiais '!AX19</f>
        <v>2081.1799999999998</v>
      </c>
    </row>
    <row r="74" spans="1:4" ht="14">
      <c r="A74" s="392">
        <v>1</v>
      </c>
      <c r="B74" s="147" t="s">
        <v>481</v>
      </c>
      <c r="C74" s="176">
        <f>'Limpeza - Materiais '!AY20</f>
        <v>154.00916666666666</v>
      </c>
      <c r="D74" s="390">
        <f>'Limpeza - Materiais '!AX20</f>
        <v>1848.11</v>
      </c>
    </row>
    <row r="75" spans="1:4" ht="14">
      <c r="A75" s="392">
        <v>1</v>
      </c>
      <c r="B75" s="147" t="s">
        <v>482</v>
      </c>
      <c r="C75" s="176">
        <f>'Limpeza - Materiais '!AY21</f>
        <v>172.69083333333333</v>
      </c>
      <c r="D75" s="390">
        <f>'Limpeza - Materiais '!AX21</f>
        <v>2072.29</v>
      </c>
    </row>
    <row r="76" spans="1:4" ht="14">
      <c r="A76" s="392">
        <v>1</v>
      </c>
      <c r="B76" s="147" t="s">
        <v>483</v>
      </c>
      <c r="C76" s="176">
        <f>'Limpeza - Materiais '!AY22</f>
        <v>167.92499999999998</v>
      </c>
      <c r="D76" s="390">
        <f>'Limpeza - Materiais '!AX22</f>
        <v>2015.1</v>
      </c>
    </row>
    <row r="77" spans="1:4" ht="14">
      <c r="A77" s="392">
        <v>1</v>
      </c>
      <c r="B77" s="147" t="s">
        <v>544</v>
      </c>
      <c r="C77" s="176">
        <f>'Limpeza - Materiais '!AY23</f>
        <v>200.48249999999999</v>
      </c>
      <c r="D77" s="390">
        <f>'Limpeza - Materiais '!AX23</f>
        <v>2405.79</v>
      </c>
    </row>
    <row r="78" spans="1:4" ht="14">
      <c r="A78" s="392">
        <v>1</v>
      </c>
      <c r="B78" s="147" t="s">
        <v>484</v>
      </c>
      <c r="C78" s="176">
        <f>'Limpeza - Materiais '!AY24</f>
        <v>118.13166666666666</v>
      </c>
      <c r="D78" s="390">
        <f>'Limpeza - Materiais '!AX24</f>
        <v>1417.58</v>
      </c>
    </row>
    <row r="79" spans="1:4" ht="14">
      <c r="A79" s="392">
        <v>1</v>
      </c>
      <c r="B79" s="147" t="s">
        <v>485</v>
      </c>
      <c r="C79" s="176">
        <f>'Limpeza - Materiais '!AY25</f>
        <v>217.18833333333336</v>
      </c>
      <c r="D79" s="390">
        <f>'Limpeza - Materiais '!AX25</f>
        <v>2606.2600000000002</v>
      </c>
    </row>
    <row r="80" spans="1:4" ht="14">
      <c r="A80" s="392">
        <v>1</v>
      </c>
      <c r="B80" s="147" t="s">
        <v>486</v>
      </c>
      <c r="C80" s="176">
        <f>'Limpeza - Materiais '!AY26</f>
        <v>126.64999999999999</v>
      </c>
      <c r="D80" s="390">
        <f>'Limpeza - Materiais '!AX26</f>
        <v>1519.8</v>
      </c>
    </row>
    <row r="81" spans="1:6" ht="14">
      <c r="A81" s="392">
        <v>1</v>
      </c>
      <c r="B81" s="147" t="s">
        <v>546</v>
      </c>
      <c r="C81" s="176">
        <f>'Limpeza - Materiais '!AY27</f>
        <v>133.82500000000002</v>
      </c>
      <c r="D81" s="390">
        <f>'Limpeza - Materiais '!AX27</f>
        <v>1605.9</v>
      </c>
    </row>
    <row r="82" spans="1:6" ht="14">
      <c r="A82" s="392">
        <v>1</v>
      </c>
      <c r="B82" s="147" t="s">
        <v>487</v>
      </c>
      <c r="C82" s="176">
        <f>'Limpeza - Materiais '!AY28</f>
        <v>131.08666666666667</v>
      </c>
      <c r="D82" s="390">
        <f>'Limpeza - Materiais '!AX28</f>
        <v>1573.04</v>
      </c>
    </row>
    <row r="83" spans="1:6" ht="14">
      <c r="A83" s="392">
        <v>1</v>
      </c>
      <c r="B83" s="147" t="s">
        <v>488</v>
      </c>
      <c r="C83" s="176">
        <f>'Limpeza - Materiais '!AY29</f>
        <v>135.26666666666668</v>
      </c>
      <c r="D83" s="390">
        <f>'Limpeza - Materiais '!AX29</f>
        <v>1623.2</v>
      </c>
    </row>
    <row r="84" spans="1:6" ht="14">
      <c r="A84" s="392">
        <v>1</v>
      </c>
      <c r="B84" s="147" t="s">
        <v>550</v>
      </c>
      <c r="C84" s="176">
        <f>'Limpeza - Materiais '!AY30</f>
        <v>184.25416666666669</v>
      </c>
      <c r="D84" s="390">
        <f>'Limpeza - Materiais '!AX30</f>
        <v>2211.0500000000002</v>
      </c>
    </row>
    <row r="85" spans="1:6" ht="14">
      <c r="A85" s="392">
        <v>1</v>
      </c>
      <c r="B85" s="147" t="s">
        <v>489</v>
      </c>
      <c r="C85" s="176">
        <f>'Limpeza - Materiais '!AY32</f>
        <v>121.33083333333333</v>
      </c>
      <c r="D85" s="390">
        <f>'Limpeza - Materiais '!AX32</f>
        <v>1455.97</v>
      </c>
    </row>
    <row r="86" spans="1:6" ht="14">
      <c r="A86" s="392">
        <v>1</v>
      </c>
      <c r="B86" s="147" t="s">
        <v>547</v>
      </c>
      <c r="C86" s="176">
        <f>'Limpeza - Materiais '!AY33</f>
        <v>110.27083333333333</v>
      </c>
      <c r="D86" s="390">
        <f>'Limpeza - Materiais '!AX33</f>
        <v>1323.25</v>
      </c>
    </row>
    <row r="87" spans="1:6" ht="14">
      <c r="A87" s="392">
        <v>1</v>
      </c>
      <c r="B87" s="147" t="s">
        <v>490</v>
      </c>
      <c r="C87" s="176">
        <f>'Limpeza - Materiais '!AY34</f>
        <v>230.55666666666664</v>
      </c>
      <c r="D87" s="390">
        <f>'Limpeza - Materiais '!AX34</f>
        <v>2766.68</v>
      </c>
    </row>
    <row r="88" spans="1:6" ht="14">
      <c r="A88" s="392">
        <v>1</v>
      </c>
      <c r="B88" s="147" t="s">
        <v>548</v>
      </c>
      <c r="C88" s="176">
        <f>'Limpeza - Materiais '!AY35</f>
        <v>175.46416666666667</v>
      </c>
      <c r="D88" s="390">
        <f>'Limpeza - Materiais '!AX35</f>
        <v>2105.5700000000002</v>
      </c>
    </row>
    <row r="89" spans="1:6" ht="14">
      <c r="A89" s="392">
        <v>1</v>
      </c>
      <c r="B89" s="147" t="s">
        <v>566</v>
      </c>
      <c r="C89" s="176">
        <f>'Limpeza - Materiais '!AY36</f>
        <v>131.75916666666666</v>
      </c>
      <c r="D89" s="390">
        <f>'Limpeza - Materiais '!AX36</f>
        <v>1581.11</v>
      </c>
    </row>
    <row r="90" spans="1:6" ht="14">
      <c r="A90" s="392">
        <v>1</v>
      </c>
      <c r="B90" s="147" t="s">
        <v>491</v>
      </c>
      <c r="C90" s="176">
        <f>'Limpeza - Materiais '!AY37</f>
        <v>140.07666666666668</v>
      </c>
      <c r="D90" s="390">
        <f>'Limpeza - Materiais '!AX37</f>
        <v>1680.92</v>
      </c>
    </row>
    <row r="91" spans="1:6" ht="14">
      <c r="A91" s="392">
        <v>1</v>
      </c>
      <c r="B91" s="147" t="s">
        <v>492</v>
      </c>
      <c r="C91" s="176">
        <f>'Limpeza - Materiais '!AY38</f>
        <v>155.97083333333333</v>
      </c>
      <c r="D91" s="390">
        <f>'Limpeza - Materiais '!AX38</f>
        <v>1871.65</v>
      </c>
    </row>
    <row r="92" spans="1:6" ht="14.5" thickBot="1">
      <c r="A92" s="396">
        <v>1</v>
      </c>
      <c r="B92" s="397" t="s">
        <v>549</v>
      </c>
      <c r="C92" s="398">
        <f>'Limpeza - Materiais '!AY39</f>
        <v>190.67</v>
      </c>
      <c r="D92" s="389">
        <f>'Limpeza - Materiais '!AX39</f>
        <v>2288.04</v>
      </c>
    </row>
    <row r="93" spans="1:6" ht="14.5" thickBot="1">
      <c r="A93" s="352" t="s">
        <v>24</v>
      </c>
      <c r="B93" s="353"/>
      <c r="C93" s="381">
        <f>SUM(C57:C92)</f>
        <v>18506.940000000002</v>
      </c>
      <c r="D93" s="382">
        <f>SUM(D57:D92)</f>
        <v>222083.28</v>
      </c>
      <c r="F93" s="328"/>
    </row>
    <row r="94" spans="1:6" ht="14.5" thickBot="1">
      <c r="A94" s="617" t="s">
        <v>603</v>
      </c>
      <c r="B94" s="298"/>
      <c r="C94" s="308"/>
      <c r="D94" s="616"/>
    </row>
    <row r="95" spans="1:6" ht="14.5" thickBot="1">
      <c r="A95" s="356" t="s">
        <v>535</v>
      </c>
      <c r="B95" s="342"/>
      <c r="C95" s="357"/>
      <c r="D95" s="343">
        <f>SUM(D52+D93)</f>
        <v>2281399.7047999999</v>
      </c>
    </row>
    <row r="96" spans="1:6" ht="15.5">
      <c r="A96" s="613"/>
      <c r="B96" s="614"/>
      <c r="C96" s="615"/>
      <c r="D96" s="615"/>
    </row>
  </sheetData>
  <sheetProtection algorithmName="SHA-512" hashValue="j8qUSUNOVVVRxiUMHMGd1NuoFCLvOuD/U6YWXh0r8GDMJnJ0FFI+XbfKDifII0+86JtZujLbntbqx0g5YT1uLQ==" saltValue="FAk/G4FFvzxmYQEZgDuSgA==" spinCount="100000" sheet="1" autoFilter="0"/>
  <customSheetViews>
    <customSheetView guid="{7D072CBA-4F2D-4FAE-88D9-B6A678BA20E4}" showPageBreaks="1" printArea="1" hiddenColumns="1" topLeftCell="B19">
      <selection activeCell="F54" sqref="F54"/>
      <pageMargins left="0.39370078740157483" right="0.39370078740157483" top="0.78740157480314965" bottom="0.59055118110236227" header="0.31496062992125984" footer="0.31496062992125984"/>
      <printOptions horizontalCentered="1"/>
      <pageSetup paperSize="9" scale="89" orientation="portrait" r:id="rId1"/>
    </customSheetView>
    <customSheetView guid="{E52CD1FC-BC62-45DA-B0AB-D94F42ADC76D}" hiddenColumns="1">
      <selection activeCell="A22" sqref="A22"/>
      <pageMargins left="0.39370078740157483" right="0.39370078740157483" top="0.78740157480314965" bottom="0.59055118110236227" header="0.31496062992125984" footer="0.31496062992125984"/>
      <printOptions horizontalCentered="1"/>
      <pageSetup paperSize="9" scale="89" orientation="portrait" r:id="rId2"/>
    </customSheetView>
    <customSheetView guid="{7AD910D7-FBD5-40ED-8BA7-40BE0FBC3F4B}" showPageBreaks="1" printArea="1" hiddenColumns="1">
      <selection activeCell="B31" sqref="B31"/>
      <pageMargins left="0.39370078740157483" right="0.39370078740157483" top="0.78740157480314965" bottom="0.59055118110236227" header="0.31496062992125984" footer="0.31496062992125984"/>
      <printOptions horizontalCentered="1"/>
      <pageSetup paperSize="9" scale="89" orientation="portrait" r:id="rId3"/>
    </customSheetView>
    <customSheetView guid="{76ECB78A-7CDD-46D1-8666-1706A28EB544}" hiddenColumns="1">
      <selection activeCell="B31" sqref="B31"/>
      <pageMargins left="0.39370078740157483" right="0.39370078740157483" top="0.78740157480314965" bottom="0.59055118110236227" header="0.31496062992125984" footer="0.31496062992125984"/>
      <printOptions horizontalCentered="1"/>
      <pageSetup paperSize="9" scale="89" orientation="portrait" r:id="rId4"/>
    </customSheetView>
    <customSheetView guid="{418E0683-5E85-4E09-83DB-7513FB73C39E}" showPageBreaks="1" printArea="1" hiddenColumns="1" view="pageBreakPreview">
      <selection activeCell="H15" sqref="H15"/>
      <pageMargins left="0.39370078740157483" right="0.39370078740157483" top="0.78740157480314965" bottom="0.59055118110236227" header="0.31496062992125984" footer="0.31496062992125984"/>
      <printOptions horizontalCentered="1"/>
      <pageSetup paperSize="9" scale="89" orientation="portrait" r:id="rId5"/>
    </customSheetView>
  </customSheetViews>
  <mergeCells count="7">
    <mergeCell ref="A1:D1"/>
    <mergeCell ref="A49:D49"/>
    <mergeCell ref="F2:H2"/>
    <mergeCell ref="F55:M55"/>
    <mergeCell ref="A2:A3"/>
    <mergeCell ref="B2:B3"/>
    <mergeCell ref="C2:D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5" orientation="portrait" r:id="rId6"/>
  <rowBreaks count="3" manualBreakCount="3">
    <brk id="54" max="3" man="1"/>
    <brk id="93" max="3" man="1"/>
    <brk id="95" max="4" man="1"/>
  </rowBreaks>
  <ignoredErrors>
    <ignoredError sqref="C58" formula="1"/>
    <ignoredError sqref="A4:A47 A50:A5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rgb="FF92D050"/>
  </sheetPr>
  <dimension ref="A1:BE169"/>
  <sheetViews>
    <sheetView tabSelected="1" view="pageBreakPreview" topLeftCell="A34" zoomScale="96" zoomScaleNormal="96" zoomScaleSheetLayoutView="96" workbookViewId="0">
      <selection activeCell="I27" sqref="I27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2" style="2" customWidth="1"/>
    <col min="9" max="9" width="14.5429687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35" t="s">
        <v>85</v>
      </c>
      <c r="C9" s="636"/>
      <c r="D9" s="636"/>
      <c r="E9" s="636"/>
      <c r="F9" s="636"/>
      <c r="G9" s="636"/>
      <c r="H9" s="637"/>
      <c r="I9" s="4"/>
    </row>
    <row r="10" spans="1:9">
      <c r="A10" s="152" t="s">
        <v>12</v>
      </c>
      <c r="B10" s="635" t="s">
        <v>352</v>
      </c>
      <c r="C10" s="636"/>
      <c r="D10" s="636"/>
      <c r="E10" s="636"/>
      <c r="F10" s="636"/>
      <c r="G10" s="636"/>
      <c r="H10" s="637"/>
      <c r="I10" s="30" t="s">
        <v>428</v>
      </c>
    </row>
    <row r="11" spans="1:9">
      <c r="A11" s="152" t="s">
        <v>13</v>
      </c>
      <c r="B11" s="635" t="s">
        <v>39</v>
      </c>
      <c r="C11" s="636"/>
      <c r="D11" s="636"/>
      <c r="E11" s="636"/>
      <c r="F11" s="636"/>
      <c r="G11" s="636"/>
      <c r="H11" s="637"/>
      <c r="I11" s="30" t="s">
        <v>598</v>
      </c>
    </row>
    <row r="12" spans="1:9">
      <c r="A12" s="152" t="s">
        <v>14</v>
      </c>
      <c r="B12" s="635" t="s">
        <v>34</v>
      </c>
      <c r="C12" s="636"/>
      <c r="D12" s="636"/>
      <c r="E12" s="636"/>
      <c r="F12" s="636"/>
      <c r="G12" s="636"/>
      <c r="H12" s="637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356</v>
      </c>
      <c r="B16" s="638"/>
      <c r="C16" s="638" t="s">
        <v>353</v>
      </c>
      <c r="D16" s="638"/>
      <c r="E16" s="642">
        <v>1</v>
      </c>
      <c r="F16" s="643"/>
      <c r="G16" s="643"/>
      <c r="H16" s="643"/>
      <c r="I16" s="644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356</v>
      </c>
    </row>
    <row r="24" spans="1:9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358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1988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421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9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(I25/220)*220</f>
        <v>1988.0000000000002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309">
        <v>0</v>
      </c>
      <c r="I32" s="29">
        <v>40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2028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168.9324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56.378399999999999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225.3108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1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450.66216000000009</v>
      </c>
    </row>
    <row r="50" spans="1:1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56.332770000000011</v>
      </c>
    </row>
    <row r="51" spans="1:1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67.59932400000001</v>
      </c>
    </row>
    <row r="52" spans="1:1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33.799662000000005</v>
      </c>
    </row>
    <row r="53" spans="1:1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22.533108000000002</v>
      </c>
    </row>
    <row r="54" spans="1:1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13.519864800000002</v>
      </c>
    </row>
    <row r="55" spans="1:1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4.5066216000000008</v>
      </c>
    </row>
    <row r="56" spans="1:1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180.26486400000002</v>
      </c>
    </row>
    <row r="57" spans="1:1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829.2183</v>
      </c>
    </row>
    <row r="58" spans="1:11">
      <c r="A58" s="16"/>
      <c r="B58" s="16"/>
      <c r="C58" s="16"/>
      <c r="D58" s="16"/>
      <c r="E58" s="16"/>
      <c r="F58" s="16"/>
      <c r="G58" s="16"/>
      <c r="H58" s="17"/>
      <c r="I58" s="18"/>
    </row>
    <row r="59" spans="1:11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1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1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144.71999999999997</v>
      </c>
    </row>
    <row r="62" spans="1:1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11">
      <c r="A63" s="9" t="s">
        <v>13</v>
      </c>
      <c r="B63" s="664" t="s">
        <v>58</v>
      </c>
      <c r="C63" s="665"/>
      <c r="D63" s="665"/>
      <c r="E63" s="665"/>
      <c r="F63" s="665"/>
      <c r="G63" s="666"/>
      <c r="H63" s="176">
        <v>87.5</v>
      </c>
      <c r="I63" s="70">
        <f>H63</f>
        <v>87.5</v>
      </c>
      <c r="K63"/>
    </row>
    <row r="64" spans="1:1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71">
        <v>0</v>
      </c>
      <c r="I64" s="70">
        <v>0</v>
      </c>
    </row>
    <row r="65" spans="1:57">
      <c r="A65" s="9" t="s">
        <v>15</v>
      </c>
      <c r="B65" s="660" t="s">
        <v>144</v>
      </c>
      <c r="C65" s="660"/>
      <c r="D65" s="660"/>
      <c r="E65" s="660"/>
      <c r="F65" s="660"/>
      <c r="G65" s="660"/>
      <c r="H65" s="71">
        <v>0</v>
      </c>
      <c r="I65" s="70">
        <v>0</v>
      </c>
    </row>
    <row r="66" spans="1:57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57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57">
      <c r="A68" s="9" t="s">
        <v>18</v>
      </c>
      <c r="B68" s="661" t="s">
        <v>147</v>
      </c>
      <c r="C68" s="661"/>
      <c r="D68" s="661"/>
      <c r="E68" s="661"/>
      <c r="F68" s="661"/>
      <c r="G68" s="661"/>
      <c r="H68" s="71">
        <v>0</v>
      </c>
      <c r="I68" s="92">
        <v>0</v>
      </c>
    </row>
    <row r="69" spans="1:57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57">
      <c r="A70" s="9" t="s">
        <v>148</v>
      </c>
      <c r="B70" s="660" t="s">
        <v>309</v>
      </c>
      <c r="C70" s="660"/>
      <c r="D70" s="662"/>
      <c r="E70" s="662"/>
      <c r="F70" s="662"/>
      <c r="G70" s="662"/>
      <c r="H70" s="71">
        <v>0</v>
      </c>
      <c r="I70" s="70">
        <v>0</v>
      </c>
    </row>
    <row r="71" spans="1:57">
      <c r="A71" s="9" t="s">
        <v>302</v>
      </c>
      <c r="B71" s="154" t="s">
        <v>310</v>
      </c>
      <c r="C71" s="165"/>
      <c r="D71" s="165"/>
      <c r="E71" s="166"/>
      <c r="F71" s="166"/>
      <c r="G71" s="167"/>
      <c r="H71" s="168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</row>
    <row r="72" spans="1:57">
      <c r="A72" s="9" t="s">
        <v>303</v>
      </c>
      <c r="B72" s="660" t="s">
        <v>304</v>
      </c>
      <c r="C72" s="660"/>
      <c r="D72" s="663"/>
      <c r="E72" s="663"/>
      <c r="F72" s="663"/>
      <c r="G72" s="663"/>
      <c r="H72" s="71">
        <v>0</v>
      </c>
      <c r="I72" s="70">
        <v>0</v>
      </c>
    </row>
    <row r="73" spans="1:57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932.2192</v>
      </c>
    </row>
    <row r="74" spans="1:57">
      <c r="A74" s="95"/>
      <c r="B74" s="95"/>
      <c r="C74" s="95"/>
      <c r="D74" s="95"/>
      <c r="E74" s="95"/>
      <c r="F74" s="95"/>
      <c r="G74" s="95"/>
      <c r="H74" s="95"/>
      <c r="I74" s="11"/>
    </row>
    <row r="75" spans="1:57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57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57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225.3108</v>
      </c>
    </row>
    <row r="78" spans="1:57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829.2183</v>
      </c>
    </row>
    <row r="79" spans="1:57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932.2192</v>
      </c>
    </row>
    <row r="80" spans="1:57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1986.7483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8.4499999999999993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0.67599999999999993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69.763200000000012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39.433333333333337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14.511466666666669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1.2618666666666669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134.0958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345.73700833333334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92.19653555555557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1.4758710775890667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0.76062141833333341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5.9214793629290119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446.0915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446.0915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446.0915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Uniformes!H13</f>
        <v>186.33333333333334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152" t="s">
        <v>0</v>
      </c>
      <c r="I117" s="96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152" t="s">
        <v>0</v>
      </c>
      <c r="I118" s="96">
        <v>0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186.33330000000001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239.06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340.88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38.147627640941437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176.065973727422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293.44328954570341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1087.5968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2028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1986.7483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134.0958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446.0915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186.33330000000001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4781.2689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1087.5968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5868.8657000000003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42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Recepção</v>
      </c>
      <c r="B151" s="682"/>
      <c r="C151" s="683">
        <f>(I147-I117)</f>
        <v>5868.8657000000003</v>
      </c>
      <c r="D151" s="683"/>
      <c r="E151" s="72">
        <v>1</v>
      </c>
      <c r="F151" s="683">
        <f>(I147-I117)</f>
        <v>5868.8657000000003</v>
      </c>
      <c r="G151" s="683"/>
      <c r="H151" s="72">
        <v>1</v>
      </c>
      <c r="I151" s="141">
        <f>F151*H151</f>
        <v>5868.8657000000003</v>
      </c>
    </row>
    <row r="152" spans="1: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f>I117</f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5868.8657000000003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(I153*12)</f>
        <v>70426.388399999996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538</v>
      </c>
      <c r="B158" s="692"/>
      <c r="C158" s="692"/>
      <c r="D158" s="692"/>
      <c r="E158" s="32"/>
      <c r="F158" s="692" t="s">
        <v>543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6</v>
      </c>
      <c r="B160" s="37">
        <v>1</v>
      </c>
      <c r="C160" s="34">
        <v>44</v>
      </c>
      <c r="D160" s="38">
        <f>A160*B160*C160</f>
        <v>264</v>
      </c>
      <c r="E160" s="32"/>
      <c r="F160" s="203">
        <v>26.833300000000001</v>
      </c>
      <c r="G160" s="34">
        <v>1</v>
      </c>
      <c r="H160" s="34">
        <v>30</v>
      </c>
      <c r="I160" s="39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1988.0000000000002</v>
      </c>
      <c r="B163" s="34">
        <v>6</v>
      </c>
      <c r="C163" s="38">
        <f>A163*B163/100</f>
        <v>119.28000000000002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119.28000000000002</v>
      </c>
      <c r="C166" s="51">
        <f>A166-B166</f>
        <v>144.71999999999997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 ht="26.25" customHeight="1">
      <c r="A168" s="32"/>
      <c r="B168" s="32"/>
      <c r="C168" s="202"/>
      <c r="D168" s="32"/>
      <c r="E168" s="32"/>
      <c r="F168" s="32"/>
      <c r="G168" s="32"/>
      <c r="H168" s="32"/>
      <c r="I168" s="32"/>
    </row>
    <row r="169" spans="1:9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cale="96" showPageBreaks="1" printArea="1" view="pageBreakPreview">
      <selection activeCell="J24" sqref="J24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4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2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2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cale="96" showPageBreaks="1" printArea="1" view="pageBreakPreview">
      <selection activeCell="J24" sqref="J24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4" firstPageNumber="0" orientation="portrait" verticalDpi="300" r:id="rId5"/>
      <headerFooter alignWithMargins="0"/>
    </customSheetView>
  </customSheetViews>
  <mergeCells count="150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2:G72"/>
    <mergeCell ref="A73:H73"/>
    <mergeCell ref="B62:G62"/>
    <mergeCell ref="B64:G64"/>
    <mergeCell ref="B65:G65"/>
    <mergeCell ref="B66:G66"/>
    <mergeCell ref="B67:G67"/>
    <mergeCell ref="B63:G63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7" firstPageNumber="0" orientation="portrait" verticalDpi="300" r:id="rId6"/>
  <headerFooter alignWithMargins="0"/>
  <rowBreaks count="1" manualBreakCount="1">
    <brk id="81" max="9" man="1"/>
  </rowBreaks>
  <ignoredErrors>
    <ignoredError sqref="I9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rgb="FF92D050"/>
  </sheetPr>
  <dimension ref="A1:I175"/>
  <sheetViews>
    <sheetView view="pageBreakPreview" topLeftCell="A88" zoomScaleNormal="96" zoomScaleSheetLayoutView="100" workbookViewId="0">
      <selection activeCell="G191" sqref="G191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2.81640625" style="2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</row>
    <row r="5" spans="1:9">
      <c r="A5" s="84"/>
      <c r="B5" s="84"/>
      <c r="C5" s="84"/>
      <c r="D5" s="84"/>
      <c r="E5" s="84"/>
      <c r="F5" s="84"/>
      <c r="G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599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355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9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355</v>
      </c>
    </row>
    <row r="24" spans="1:9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584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58">
        <v>2656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355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45808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26" t="s">
        <v>19</v>
      </c>
      <c r="C30" s="27"/>
      <c r="D30" s="27"/>
      <c r="E30" s="27"/>
      <c r="F30" s="146" t="s">
        <v>527</v>
      </c>
      <c r="G30" s="234" t="s">
        <v>528</v>
      </c>
      <c r="H30" s="146" t="s">
        <v>3</v>
      </c>
      <c r="I30" s="146" t="s">
        <v>1</v>
      </c>
    </row>
    <row r="31" spans="1:9">
      <c r="A31" s="9" t="s">
        <v>11</v>
      </c>
      <c r="B31" s="635" t="s">
        <v>33</v>
      </c>
      <c r="C31" s="636"/>
      <c r="D31" s="636"/>
      <c r="E31" s="636"/>
      <c r="F31" s="154"/>
      <c r="G31" s="154"/>
      <c r="H31" s="147"/>
      <c r="I31" s="29">
        <f>I25</f>
        <v>2656</v>
      </c>
    </row>
    <row r="32" spans="1:9">
      <c r="A32" s="9" t="s">
        <v>12</v>
      </c>
      <c r="B32" s="635" t="s">
        <v>313</v>
      </c>
      <c r="C32" s="636"/>
      <c r="D32" s="636"/>
      <c r="E32" s="636"/>
      <c r="F32" s="154"/>
      <c r="G32" s="154"/>
      <c r="H32" s="8">
        <v>0</v>
      </c>
      <c r="I32" s="29">
        <v>0</v>
      </c>
    </row>
    <row r="33" spans="1:9">
      <c r="A33" s="9" t="s">
        <v>13</v>
      </c>
      <c r="B33" s="671" t="s">
        <v>42</v>
      </c>
      <c r="C33" s="672"/>
      <c r="D33" s="672"/>
      <c r="E33" s="672"/>
      <c r="F33" s="147"/>
      <c r="G33" s="147"/>
      <c r="H33" s="8">
        <v>0</v>
      </c>
      <c r="I33" s="29">
        <f>H33*I31</f>
        <v>0</v>
      </c>
    </row>
    <row r="34" spans="1:9">
      <c r="A34" s="9" t="s">
        <v>14</v>
      </c>
      <c r="B34" s="702" t="s">
        <v>520</v>
      </c>
      <c r="C34" s="703"/>
      <c r="D34" s="703"/>
      <c r="E34" s="704"/>
      <c r="F34" s="30">
        <v>0</v>
      </c>
      <c r="G34" s="29">
        <v>0</v>
      </c>
      <c r="H34" s="8">
        <v>0</v>
      </c>
      <c r="I34" s="29">
        <f>F34*G34</f>
        <v>0</v>
      </c>
    </row>
    <row r="35" spans="1:9">
      <c r="A35" s="9" t="s">
        <v>15</v>
      </c>
      <c r="B35" s="671" t="s">
        <v>517</v>
      </c>
      <c r="C35" s="672"/>
      <c r="D35" s="672"/>
      <c r="E35" s="672"/>
      <c r="F35" s="30">
        <v>0</v>
      </c>
      <c r="G35" s="29">
        <v>0</v>
      </c>
      <c r="H35" s="8">
        <v>0</v>
      </c>
      <c r="I35" s="29">
        <f>F35*G35</f>
        <v>0</v>
      </c>
    </row>
    <row r="36" spans="1:9">
      <c r="A36" s="9" t="s">
        <v>16</v>
      </c>
      <c r="B36" s="671" t="s">
        <v>519</v>
      </c>
      <c r="C36" s="672"/>
      <c r="D36" s="672"/>
      <c r="E36" s="672"/>
      <c r="F36" s="30">
        <v>0</v>
      </c>
      <c r="G36" s="29">
        <f>I174</f>
        <v>241.45</v>
      </c>
      <c r="H36" s="8">
        <v>0</v>
      </c>
      <c r="I36" s="29">
        <f>F36*G36</f>
        <v>0</v>
      </c>
    </row>
    <row r="37" spans="1:9">
      <c r="A37" s="9" t="s">
        <v>17</v>
      </c>
      <c r="B37" s="671" t="s">
        <v>4</v>
      </c>
      <c r="C37" s="672"/>
      <c r="D37" s="672"/>
      <c r="E37" s="672"/>
      <c r="F37" s="147"/>
      <c r="G37" s="147"/>
      <c r="H37" s="8">
        <v>0</v>
      </c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TRUNC(SUM(I31:I37),2)</f>
        <v>2656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221.2448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73.836799999999997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TRUNC(SUM(I43:I44),2)</f>
        <v>295.08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590.21600000000001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73.777000000000001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88.532399999999996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44.266199999999998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29.5108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17.706479999999999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5.9021600000000003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236.0864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TRUNC(SUM(I49:I56),2)</f>
        <v>1085.99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71">
        <f>A160</f>
        <v>6</v>
      </c>
      <c r="I61" s="70">
        <f>C166</f>
        <v>104.63999999999999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71">
        <f>F160</f>
        <v>33</v>
      </c>
      <c r="I62" s="70">
        <f>H166</f>
        <v>653.4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71">
        <v>0</v>
      </c>
      <c r="I63" s="70">
        <f>H63</f>
        <v>0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71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71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233">
        <v>0.01</v>
      </c>
      <c r="I66" s="70">
        <f>(I25*1%)</f>
        <v>26.560000000000002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71">
        <v>0</v>
      </c>
      <c r="I67" s="70">
        <f t="shared" ref="I67" si="0">H67</f>
        <v>0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71">
        <v>0</v>
      </c>
      <c r="I68" s="92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53.13</v>
      </c>
      <c r="I69" s="70">
        <f>H69</f>
        <v>53.13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507</v>
      </c>
      <c r="C72" s="660"/>
      <c r="D72" s="660"/>
      <c r="E72" s="660"/>
      <c r="F72" s="660"/>
      <c r="G72" s="660"/>
      <c r="H72" s="71">
        <v>0</v>
      </c>
      <c r="I72" s="70">
        <f>H72</f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TRUNC(SUM(I61:I72),2)</f>
        <v>837.73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295.08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1085.99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837.73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TRUNC(SUM(I77:I79),2)</f>
        <v>2218.8000000000002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11.066666666666666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0.88533333333333331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91.366400000000013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51.644444444444446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19.005155555555557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1.6526222222222227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TRUNC(SUM(I84:I89),2)</f>
        <v>175.62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420.86833333333334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112.23155555555556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1.7965892735466666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0.92591033333333339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7.2082626108134411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TRUNC(SUM(I95:I100),2)</f>
        <v>543.03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543.03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TRUNC(SUM(I110:I111),2)</f>
        <v>543.03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152" t="s">
        <v>0</v>
      </c>
      <c r="I116" s="96">
        <f>Uniformes!H25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152" t="s">
        <v>0</v>
      </c>
      <c r="I117" s="96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152" t="s">
        <v>0</v>
      </c>
      <c r="I118" s="96">
        <v>0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TRUNC(SUM(I116:I119),3)</f>
        <v>230.166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199" t="s">
        <v>11</v>
      </c>
      <c r="B124" s="648" t="s">
        <v>28</v>
      </c>
      <c r="C124" s="648"/>
      <c r="D124" s="648"/>
      <c r="E124" s="648"/>
      <c r="F124" s="648"/>
      <c r="G124" s="648"/>
      <c r="H124" s="117">
        <v>0.05</v>
      </c>
      <c r="I124" s="96">
        <f>TRUNC(H124*I145,2)</f>
        <v>291.18</v>
      </c>
    </row>
    <row r="125" spans="1:9">
      <c r="A125" s="199" t="s">
        <v>12</v>
      </c>
      <c r="B125" s="648" t="s">
        <v>5</v>
      </c>
      <c r="C125" s="648"/>
      <c r="D125" s="648"/>
      <c r="E125" s="648"/>
      <c r="F125" s="648"/>
      <c r="G125" s="648"/>
      <c r="H125" s="117">
        <v>6.7900000000000002E-2</v>
      </c>
      <c r="I125" s="96">
        <f>TRUNC(H125*(I124+I145),2)</f>
        <v>415.19</v>
      </c>
    </row>
    <row r="126" spans="1:9">
      <c r="A126" s="199" t="s">
        <v>13</v>
      </c>
      <c r="B126" s="705" t="s">
        <v>38</v>
      </c>
      <c r="C126" s="705"/>
      <c r="D126" s="705"/>
      <c r="E126" s="705"/>
      <c r="F126" s="705"/>
      <c r="G126" s="705"/>
      <c r="H126" s="103"/>
      <c r="I126" s="120"/>
    </row>
    <row r="127" spans="1:9">
      <c r="A127" s="199"/>
      <c r="B127" s="635" t="s">
        <v>150</v>
      </c>
      <c r="C127" s="636"/>
      <c r="D127" s="636"/>
      <c r="E127" s="636"/>
      <c r="F127" s="636"/>
      <c r="G127" s="636"/>
      <c r="H127" s="636"/>
      <c r="I127" s="637"/>
    </row>
    <row r="128" spans="1:9">
      <c r="A128" s="199"/>
      <c r="B128" s="648" t="s">
        <v>422</v>
      </c>
      <c r="C128" s="648"/>
      <c r="D128" s="648"/>
      <c r="E128" s="648"/>
      <c r="F128" s="648"/>
      <c r="G128" s="648"/>
      <c r="H128" s="98">
        <v>6.4999999999999997E-3</v>
      </c>
      <c r="I128" s="96">
        <f>TRUNC(H128*I145,2)</f>
        <v>37.85</v>
      </c>
    </row>
    <row r="129" spans="1:9">
      <c r="A129" s="199"/>
      <c r="B129" s="648" t="s">
        <v>423</v>
      </c>
      <c r="C129" s="648"/>
      <c r="D129" s="648"/>
      <c r="E129" s="648"/>
      <c r="F129" s="648"/>
      <c r="G129" s="648"/>
      <c r="H129" s="98">
        <v>0.03</v>
      </c>
      <c r="I129" s="96">
        <f>TRUNC(H129*I145,2)</f>
        <v>174.7</v>
      </c>
    </row>
    <row r="130" spans="1:9">
      <c r="A130" s="199"/>
      <c r="B130" s="648"/>
      <c r="C130" s="648"/>
      <c r="D130" s="648"/>
      <c r="E130" s="648"/>
      <c r="F130" s="648"/>
      <c r="G130" s="648"/>
      <c r="H130" s="98"/>
      <c r="I130" s="96">
        <f>TRUNC(H130*I145,2)</f>
        <v>0</v>
      </c>
    </row>
    <row r="131" spans="1:9">
      <c r="A131" s="199"/>
      <c r="B131" s="648"/>
      <c r="C131" s="648"/>
      <c r="D131" s="648"/>
      <c r="E131" s="648"/>
      <c r="F131" s="648"/>
      <c r="G131" s="648"/>
      <c r="H131" s="98"/>
      <c r="I131" s="96">
        <f>TRUNC(H131*I145,2)</f>
        <v>0</v>
      </c>
    </row>
    <row r="132" spans="1:9">
      <c r="A132" s="199"/>
      <c r="B132" s="635" t="s">
        <v>141</v>
      </c>
      <c r="C132" s="636"/>
      <c r="D132" s="636"/>
      <c r="E132" s="636"/>
      <c r="F132" s="636"/>
      <c r="G132" s="636"/>
      <c r="H132" s="636"/>
      <c r="I132" s="637"/>
    </row>
    <row r="133" spans="1:9">
      <c r="A133" s="199"/>
      <c r="B133" s="648" t="s">
        <v>151</v>
      </c>
      <c r="C133" s="648"/>
      <c r="D133" s="648"/>
      <c r="E133" s="648"/>
      <c r="F133" s="648"/>
      <c r="G133" s="648"/>
      <c r="H133" s="98">
        <v>0</v>
      </c>
      <c r="I133" s="96">
        <f>TRUNC(H133*I145,2)</f>
        <v>0</v>
      </c>
    </row>
    <row r="134" spans="1:9">
      <c r="A134" s="199"/>
      <c r="B134" s="635" t="s">
        <v>152</v>
      </c>
      <c r="C134" s="636"/>
      <c r="D134" s="636"/>
      <c r="E134" s="636"/>
      <c r="F134" s="636"/>
      <c r="G134" s="636"/>
      <c r="H134" s="636"/>
      <c r="I134" s="637"/>
    </row>
    <row r="135" spans="1:9">
      <c r="A135" s="199"/>
      <c r="B135" s="648" t="s">
        <v>153</v>
      </c>
      <c r="C135" s="648"/>
      <c r="D135" s="648"/>
      <c r="E135" s="648"/>
      <c r="F135" s="648"/>
      <c r="G135" s="648"/>
      <c r="H135" s="98">
        <v>0.05</v>
      </c>
      <c r="I135" s="96">
        <f>TRUNC(H135*I145,2)</f>
        <v>291.18</v>
      </c>
    </row>
    <row r="136" spans="1:9">
      <c r="A136" s="706" t="s">
        <v>101</v>
      </c>
      <c r="B136" s="706"/>
      <c r="C136" s="706"/>
      <c r="D136" s="706"/>
      <c r="E136" s="706"/>
      <c r="F136" s="706"/>
      <c r="G136" s="706"/>
      <c r="H136" s="200">
        <f>SUM(H124:H135)</f>
        <v>0.20440000000000003</v>
      </c>
      <c r="I136" s="102">
        <f>TRUNC(SUM(I124:I135),2)</f>
        <v>1210.0999999999999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2656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2218.8000000000002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175.62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543.03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TRUNC(SUM(I140:I144),2)</f>
        <v>5823.61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1210.0999999999999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TRUNC(SUM(I145:I146),2)</f>
        <v>7033.71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Motorista</v>
      </c>
      <c r="B151" s="682"/>
      <c r="C151" s="683">
        <f>(I147-I117)</f>
        <v>7033.71</v>
      </c>
      <c r="D151" s="683"/>
      <c r="E151" s="72">
        <v>1</v>
      </c>
      <c r="F151" s="683">
        <f>(I147-I117)</f>
        <v>7033.71</v>
      </c>
      <c r="G151" s="683"/>
      <c r="H151" s="72">
        <v>1</v>
      </c>
      <c r="I151" s="141">
        <f>F151*H151</f>
        <v>7033.71</v>
      </c>
    </row>
    <row r="152" spans="1: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f>I117</f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SUM(I152,I151)</f>
        <v>7033.71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I153*12</f>
        <v>84404.52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538</v>
      </c>
      <c r="B158" s="692"/>
      <c r="C158" s="692"/>
      <c r="D158" s="692"/>
      <c r="E158" s="32"/>
      <c r="F158" s="692" t="s">
        <v>538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98">
        <v>6</v>
      </c>
      <c r="B160" s="37">
        <v>1</v>
      </c>
      <c r="C160" s="34">
        <v>44</v>
      </c>
      <c r="D160" s="38">
        <f>A160*B160*C160</f>
        <v>264</v>
      </c>
      <c r="E160" s="32"/>
      <c r="F160" s="231">
        <v>33</v>
      </c>
      <c r="G160" s="34">
        <v>1</v>
      </c>
      <c r="H160" s="34">
        <v>22</v>
      </c>
      <c r="I160" s="39">
        <f>F160*G160*H160</f>
        <v>726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2656</v>
      </c>
      <c r="B163" s="34">
        <v>6</v>
      </c>
      <c r="C163" s="38">
        <f>A163*B163/100</f>
        <v>159.36000000000001</v>
      </c>
      <c r="D163" s="41"/>
      <c r="E163" s="32"/>
      <c r="F163" s="38">
        <f>I160</f>
        <v>726</v>
      </c>
      <c r="G163" s="45">
        <v>0.1</v>
      </c>
      <c r="H163" s="38">
        <f>F163*G163</f>
        <v>72.600000000000009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159.36000000000001</v>
      </c>
      <c r="C166" s="51">
        <f>A166-B166</f>
        <v>104.63999999999999</v>
      </c>
      <c r="D166" s="52"/>
      <c r="E166" s="32"/>
      <c r="F166" s="38">
        <f>I160</f>
        <v>726</v>
      </c>
      <c r="G166" s="53">
        <f>H163</f>
        <v>72.600000000000009</v>
      </c>
      <c r="H166" s="51">
        <f>F166-G166</f>
        <v>653.4</v>
      </c>
      <c r="I166" s="54"/>
    </row>
    <row r="167" spans="1:9" ht="26.25" customHeight="1" thickBot="1">
      <c r="A167" s="236"/>
      <c r="B167" s="236"/>
      <c r="C167" s="236"/>
      <c r="D167" s="40"/>
      <c r="E167" s="32"/>
      <c r="F167" s="236"/>
      <c r="G167" s="237"/>
      <c r="H167" s="236"/>
      <c r="I167" s="40"/>
    </row>
    <row r="168" spans="1:9" ht="26.25" customHeight="1">
      <c r="A168" s="710" t="s">
        <v>521</v>
      </c>
      <c r="B168" s="711"/>
      <c r="C168" s="711"/>
      <c r="D168" s="238" t="s">
        <v>515</v>
      </c>
      <c r="E168" s="238" t="s">
        <v>516</v>
      </c>
      <c r="F168" s="718" t="s">
        <v>525</v>
      </c>
      <c r="G168" s="719"/>
      <c r="H168" s="239" t="s">
        <v>524</v>
      </c>
      <c r="I168" s="247" t="s">
        <v>526</v>
      </c>
    </row>
    <row r="169" spans="1:9" ht="26.25" customHeight="1">
      <c r="A169" s="727" t="s">
        <v>520</v>
      </c>
      <c r="B169" s="728"/>
      <c r="C169" s="728"/>
      <c r="D169" s="240">
        <v>0.5</v>
      </c>
      <c r="E169" s="250">
        <v>10</v>
      </c>
      <c r="F169" s="241">
        <f>((I31/220)*50%)+(I31/220)</f>
        <v>18.109090909090909</v>
      </c>
      <c r="G169" s="241">
        <f>F169*E169</f>
        <v>181.09090909090909</v>
      </c>
      <c r="H169" s="242">
        <f>(G169/25)*5</f>
        <v>36.218181818181819</v>
      </c>
      <c r="I169" s="248">
        <f>TRUNC((G169+H169),2)</f>
        <v>217.3</v>
      </c>
    </row>
    <row r="170" spans="1:9" ht="26.25" customHeight="1">
      <c r="A170" s="729" t="s">
        <v>517</v>
      </c>
      <c r="B170" s="730"/>
      <c r="C170" s="730"/>
      <c r="D170" s="712" t="s">
        <v>518</v>
      </c>
      <c r="E170" s="724">
        <v>2</v>
      </c>
      <c r="F170" s="241">
        <f>(I31/220)</f>
        <v>12.072727272727272</v>
      </c>
      <c r="G170" s="715">
        <f>F173*E170</f>
        <v>43.461818181818181</v>
      </c>
      <c r="H170" s="721">
        <f>((G170/25)*5)</f>
        <v>8.6923636363636358</v>
      </c>
      <c r="I170" s="720">
        <f t="shared" ref="I170" si="1">TRUNC((G170+H170),2)</f>
        <v>52.15</v>
      </c>
    </row>
    <row r="171" spans="1:9" ht="26.25" customHeight="1">
      <c r="A171" s="731"/>
      <c r="B171" s="732"/>
      <c r="C171" s="732"/>
      <c r="D171" s="713"/>
      <c r="E171" s="725"/>
      <c r="F171" s="243">
        <f>F170*50%</f>
        <v>6.0363636363636362</v>
      </c>
      <c r="G171" s="716"/>
      <c r="H171" s="722"/>
      <c r="I171" s="720"/>
    </row>
    <row r="172" spans="1:9" ht="26.25" customHeight="1">
      <c r="A172" s="731"/>
      <c r="B172" s="732"/>
      <c r="C172" s="732"/>
      <c r="D172" s="713"/>
      <c r="E172" s="725"/>
      <c r="F172" s="243">
        <f>(F170+F171)*20%</f>
        <v>3.621818181818182</v>
      </c>
      <c r="G172" s="716"/>
      <c r="H172" s="722"/>
      <c r="I172" s="720"/>
    </row>
    <row r="173" spans="1:9" ht="26.25" customHeight="1">
      <c r="A173" s="733"/>
      <c r="B173" s="734"/>
      <c r="C173" s="734"/>
      <c r="D173" s="714"/>
      <c r="E173" s="726"/>
      <c r="F173" s="243">
        <f>SUM(F170:F172)</f>
        <v>21.730909090909091</v>
      </c>
      <c r="G173" s="717"/>
      <c r="H173" s="723"/>
      <c r="I173" s="720"/>
    </row>
    <row r="174" spans="1:9" ht="26.25" customHeight="1" thickBot="1">
      <c r="A174" s="707" t="s">
        <v>519</v>
      </c>
      <c r="B174" s="708"/>
      <c r="C174" s="709"/>
      <c r="D174" s="244" t="s">
        <v>522</v>
      </c>
      <c r="E174" s="244">
        <v>10</v>
      </c>
      <c r="F174" s="245">
        <f>I31/220 *2</f>
        <v>24.145454545454545</v>
      </c>
      <c r="G174" s="245">
        <f>F174*E174</f>
        <v>241.45454545454544</v>
      </c>
      <c r="H174" s="246" t="s">
        <v>523</v>
      </c>
      <c r="I174" s="249">
        <f>TRUNC((G174),2)</f>
        <v>241.45</v>
      </c>
    </row>
    <row r="175" spans="1:9" ht="14.5">
      <c r="A175" s="235" t="s">
        <v>555</v>
      </c>
      <c r="B175" s="235"/>
      <c r="C175" s="235"/>
      <c r="D175" s="235"/>
      <c r="E175" s="235"/>
      <c r="F175" s="235"/>
      <c r="G175" s="235"/>
      <c r="H175" s="235"/>
      <c r="I175" s="235"/>
    </row>
  </sheetData>
  <customSheetViews>
    <customSheetView guid="{7D072CBA-4F2D-4FAE-88D9-B6A678BA20E4}" showPageBreaks="1" printArea="1" view="pageBreakPreview" topLeftCell="A10">
      <selection activeCell="J16" sqref="J16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52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52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 topLeftCell="A10">
      <selection activeCell="J16" sqref="J16"/>
      <rowBreaks count="1" manualBreakCount="1">
        <brk id="81" max="8" man="1"/>
      </rowBreaks>
      <colBreaks count="1" manualBreakCount="1">
        <brk id="9" max="1048575" man="1"/>
      </colBreaks>
      <pageMargins left="0.59055118110236227" right="0.59055118110236227" top="0.59055118110236227" bottom="0.59055118110236227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60">
    <mergeCell ref="A174:C174"/>
    <mergeCell ref="A168:C168"/>
    <mergeCell ref="D170:D173"/>
    <mergeCell ref="G170:G173"/>
    <mergeCell ref="F168:G168"/>
    <mergeCell ref="I170:I173"/>
    <mergeCell ref="H170:H173"/>
    <mergeCell ref="E170:E173"/>
    <mergeCell ref="B35:E35"/>
    <mergeCell ref="B36:E36"/>
    <mergeCell ref="B37:E37"/>
    <mergeCell ref="A157:D157"/>
    <mergeCell ref="F157:I157"/>
    <mergeCell ref="A158:D158"/>
    <mergeCell ref="F158:I158"/>
    <mergeCell ref="A152:B152"/>
    <mergeCell ref="C152:D152"/>
    <mergeCell ref="A169:C169"/>
    <mergeCell ref="A170:C173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4:I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I132"/>
    <mergeCell ref="B133:G133"/>
    <mergeCell ref="A122:I122"/>
    <mergeCell ref="B123:G123"/>
    <mergeCell ref="B124:G124"/>
    <mergeCell ref="B125:G125"/>
    <mergeCell ref="B126:G126"/>
    <mergeCell ref="B127:I127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A38:H38"/>
    <mergeCell ref="A40:I40"/>
    <mergeCell ref="B27:H27"/>
    <mergeCell ref="A29:I29"/>
    <mergeCell ref="B34:E34"/>
    <mergeCell ref="A20:B20"/>
    <mergeCell ref="A22:I22"/>
    <mergeCell ref="B23:H23"/>
    <mergeCell ref="B24:H24"/>
    <mergeCell ref="B25:H25"/>
    <mergeCell ref="B26:H26"/>
    <mergeCell ref="B31:E31"/>
    <mergeCell ref="B32:E32"/>
    <mergeCell ref="B33:E33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3" firstPageNumber="0" orientation="portrait" verticalDpi="300" r:id="rId6"/>
  <headerFooter alignWithMargins="0"/>
  <rowBreaks count="1" manualBreakCount="1">
    <brk id="9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I175"/>
  <sheetViews>
    <sheetView view="pageBreakPreview" topLeftCell="A134" zoomScaleNormal="96" zoomScaleSheetLayoutView="100" workbookViewId="0">
      <selection activeCell="M99" sqref="M99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2.81640625" style="2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</row>
    <row r="5" spans="1:9">
      <c r="A5" s="84"/>
      <c r="B5" s="84"/>
      <c r="C5" s="84"/>
      <c r="D5" s="84"/>
      <c r="E5" s="84"/>
      <c r="F5" s="84"/>
      <c r="G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599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355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9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355</v>
      </c>
    </row>
    <row r="24" spans="1:9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584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58">
        <v>2656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355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45808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26" t="s">
        <v>19</v>
      </c>
      <c r="C30" s="27"/>
      <c r="D30" s="27"/>
      <c r="E30" s="27"/>
      <c r="F30" s="146" t="s">
        <v>527</v>
      </c>
      <c r="G30" s="234" t="s">
        <v>528</v>
      </c>
      <c r="H30" s="146" t="s">
        <v>3</v>
      </c>
      <c r="I30" s="146" t="s">
        <v>1</v>
      </c>
    </row>
    <row r="31" spans="1:9">
      <c r="A31" s="9" t="s">
        <v>11</v>
      </c>
      <c r="B31" s="635" t="s">
        <v>33</v>
      </c>
      <c r="C31" s="636"/>
      <c r="D31" s="636"/>
      <c r="E31" s="636"/>
      <c r="F31" s="154"/>
      <c r="G31" s="154"/>
      <c r="H31" s="147"/>
      <c r="I31" s="29">
        <f>I25</f>
        <v>2656</v>
      </c>
    </row>
    <row r="32" spans="1:9">
      <c r="A32" s="9" t="s">
        <v>12</v>
      </c>
      <c r="B32" s="635" t="s">
        <v>313</v>
      </c>
      <c r="C32" s="636"/>
      <c r="D32" s="636"/>
      <c r="E32" s="636"/>
      <c r="F32" s="154"/>
      <c r="G32" s="154"/>
      <c r="H32" s="8">
        <v>0</v>
      </c>
      <c r="I32" s="29">
        <v>0</v>
      </c>
    </row>
    <row r="33" spans="1:9">
      <c r="A33" s="9" t="s">
        <v>13</v>
      </c>
      <c r="B33" s="671" t="s">
        <v>42</v>
      </c>
      <c r="C33" s="672"/>
      <c r="D33" s="672"/>
      <c r="E33" s="672"/>
      <c r="F33" s="147"/>
      <c r="G33" s="147"/>
      <c r="H33" s="8">
        <v>0</v>
      </c>
      <c r="I33" s="29">
        <f>H33*I31</f>
        <v>0</v>
      </c>
    </row>
    <row r="34" spans="1:9">
      <c r="A34" s="9" t="s">
        <v>14</v>
      </c>
      <c r="B34" s="702" t="s">
        <v>520</v>
      </c>
      <c r="C34" s="703"/>
      <c r="D34" s="703"/>
      <c r="E34" s="704"/>
      <c r="F34" s="30">
        <v>0</v>
      </c>
      <c r="G34" s="29">
        <v>0</v>
      </c>
      <c r="H34" s="8">
        <v>0</v>
      </c>
      <c r="I34" s="29">
        <f>F34*G34</f>
        <v>0</v>
      </c>
    </row>
    <row r="35" spans="1:9">
      <c r="A35" s="9" t="s">
        <v>15</v>
      </c>
      <c r="B35" s="671" t="s">
        <v>517</v>
      </c>
      <c r="C35" s="672"/>
      <c r="D35" s="672"/>
      <c r="E35" s="672"/>
      <c r="F35" s="30">
        <v>0</v>
      </c>
      <c r="G35" s="29">
        <v>0</v>
      </c>
      <c r="H35" s="8">
        <v>0</v>
      </c>
      <c r="I35" s="29">
        <f>F35*G35</f>
        <v>0</v>
      </c>
    </row>
    <row r="36" spans="1:9">
      <c r="A36" s="9" t="s">
        <v>16</v>
      </c>
      <c r="B36" s="671" t="s">
        <v>519</v>
      </c>
      <c r="C36" s="672"/>
      <c r="D36" s="672"/>
      <c r="E36" s="672"/>
      <c r="F36" s="30">
        <v>0</v>
      </c>
      <c r="G36" s="29">
        <f>I174</f>
        <v>241.45</v>
      </c>
      <c r="H36" s="8">
        <v>0</v>
      </c>
      <c r="I36" s="29">
        <f>F36*G36</f>
        <v>0</v>
      </c>
    </row>
    <row r="37" spans="1:9">
      <c r="A37" s="9" t="s">
        <v>17</v>
      </c>
      <c r="B37" s="671" t="s">
        <v>4</v>
      </c>
      <c r="C37" s="672"/>
      <c r="D37" s="672"/>
      <c r="E37" s="672"/>
      <c r="F37" s="147"/>
      <c r="G37" s="147"/>
      <c r="H37" s="8">
        <v>0</v>
      </c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TRUNC(SUM(I31:I37),2)</f>
        <v>2656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221.2448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73.836799999999997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TRUNC(SUM(I43:I44),2)</f>
        <v>295.08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590.21600000000001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73.777000000000001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88.532399999999996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44.266199999999998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29.5108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17.706479999999999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5.9021600000000003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236.0864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TRUNC(SUM(I49:I56),2)</f>
        <v>1085.99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71">
        <f>A160</f>
        <v>6</v>
      </c>
      <c r="I61" s="70">
        <f>C166</f>
        <v>104.63999999999999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71">
        <f>F160</f>
        <v>33</v>
      </c>
      <c r="I62" s="70">
        <f>H166</f>
        <v>653.4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71">
        <v>0</v>
      </c>
      <c r="I63" s="70">
        <f>H63</f>
        <v>0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71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71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233">
        <v>0.01</v>
      </c>
      <c r="I66" s="70">
        <f>(I25*1%)</f>
        <v>26.560000000000002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71">
        <v>0</v>
      </c>
      <c r="I67" s="70">
        <f t="shared" ref="I67" si="0">H67</f>
        <v>0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71">
        <v>0</v>
      </c>
      <c r="I68" s="92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53.13</v>
      </c>
      <c r="I69" s="70">
        <f>H69</f>
        <v>53.13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507</v>
      </c>
      <c r="C72" s="660"/>
      <c r="D72" s="660"/>
      <c r="E72" s="660"/>
      <c r="F72" s="660"/>
      <c r="G72" s="660"/>
      <c r="H72" s="71">
        <v>0</v>
      </c>
      <c r="I72" s="70">
        <f>H72</f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TRUNC(SUM(I61:I72),2)</f>
        <v>837.73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295.08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1085.99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837.73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TRUNC(SUM(I77:I79),2)</f>
        <v>2218.8000000000002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11.066666666666666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0.88533333333333331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91.366400000000013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51.644444444444446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19.005155555555557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1.6526222222222227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TRUNC(SUM(I84:I89),2)</f>
        <v>175.62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420.86833333333334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112.23155555555556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1.7965892735466666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0.92591033333333339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7.2082626108134411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TRUNC(SUM(I95:I100),2)</f>
        <v>543.03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543.03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TRUNC(SUM(I110:I111),2)</f>
        <v>543.03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152" t="s">
        <v>0</v>
      </c>
      <c r="I116" s="96">
        <f>Uniformes!H25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152" t="s">
        <v>0</v>
      </c>
      <c r="I117" s="96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152" t="s">
        <v>0</v>
      </c>
      <c r="I118" s="96">
        <v>0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TRUNC(SUM(I116:I119),3)</f>
        <v>230.166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199" t="s">
        <v>11</v>
      </c>
      <c r="B124" s="648" t="s">
        <v>28</v>
      </c>
      <c r="C124" s="648"/>
      <c r="D124" s="648"/>
      <c r="E124" s="648"/>
      <c r="F124" s="648"/>
      <c r="G124" s="648"/>
      <c r="H124" s="117">
        <v>0.05</v>
      </c>
      <c r="I124" s="96">
        <f>TRUNC(H124*I145,2)</f>
        <v>291.18</v>
      </c>
    </row>
    <row r="125" spans="1:9">
      <c r="A125" s="199" t="s">
        <v>12</v>
      </c>
      <c r="B125" s="648" t="s">
        <v>5</v>
      </c>
      <c r="C125" s="648"/>
      <c r="D125" s="648"/>
      <c r="E125" s="648"/>
      <c r="F125" s="648"/>
      <c r="G125" s="648"/>
      <c r="H125" s="117">
        <v>6.7900000000000002E-2</v>
      </c>
      <c r="I125" s="96">
        <f>TRUNC(H125*(I124+I145),2)</f>
        <v>415.19</v>
      </c>
    </row>
    <row r="126" spans="1:9">
      <c r="A126" s="199" t="s">
        <v>13</v>
      </c>
      <c r="B126" s="705" t="s">
        <v>38</v>
      </c>
      <c r="C126" s="705"/>
      <c r="D126" s="705"/>
      <c r="E126" s="705"/>
      <c r="F126" s="705"/>
      <c r="G126" s="705"/>
      <c r="H126" s="103"/>
      <c r="I126" s="120"/>
    </row>
    <row r="127" spans="1:9">
      <c r="A127" s="199"/>
      <c r="B127" s="635" t="s">
        <v>150</v>
      </c>
      <c r="C127" s="636"/>
      <c r="D127" s="636"/>
      <c r="E127" s="636"/>
      <c r="F127" s="636"/>
      <c r="G127" s="636"/>
      <c r="H127" s="636"/>
      <c r="I127" s="637"/>
    </row>
    <row r="128" spans="1:9">
      <c r="A128" s="199"/>
      <c r="B128" s="648" t="s">
        <v>422</v>
      </c>
      <c r="C128" s="648"/>
      <c r="D128" s="648"/>
      <c r="E128" s="648"/>
      <c r="F128" s="648"/>
      <c r="G128" s="648"/>
      <c r="H128" s="98">
        <v>6.4999999999999997E-3</v>
      </c>
      <c r="I128" s="96">
        <f>TRUNC(H128*I145,2)</f>
        <v>37.85</v>
      </c>
    </row>
    <row r="129" spans="1:9">
      <c r="A129" s="199"/>
      <c r="B129" s="648" t="s">
        <v>423</v>
      </c>
      <c r="C129" s="648"/>
      <c r="D129" s="648"/>
      <c r="E129" s="648"/>
      <c r="F129" s="648"/>
      <c r="G129" s="648"/>
      <c r="H129" s="98">
        <v>0.03</v>
      </c>
      <c r="I129" s="96">
        <f>TRUNC(H129*I145,2)</f>
        <v>174.7</v>
      </c>
    </row>
    <row r="130" spans="1:9">
      <c r="A130" s="199"/>
      <c r="B130" s="648"/>
      <c r="C130" s="648"/>
      <c r="D130" s="648"/>
      <c r="E130" s="648"/>
      <c r="F130" s="648"/>
      <c r="G130" s="648"/>
      <c r="H130" s="98"/>
      <c r="I130" s="96">
        <f>TRUNC(H130*I145,2)</f>
        <v>0</v>
      </c>
    </row>
    <row r="131" spans="1:9">
      <c r="A131" s="199"/>
      <c r="B131" s="648"/>
      <c r="C131" s="648"/>
      <c r="D131" s="648"/>
      <c r="E131" s="648"/>
      <c r="F131" s="648"/>
      <c r="G131" s="648"/>
      <c r="H131" s="98"/>
      <c r="I131" s="96">
        <f>TRUNC(H131*I145,2)</f>
        <v>0</v>
      </c>
    </row>
    <row r="132" spans="1:9">
      <c r="A132" s="199"/>
      <c r="B132" s="635" t="s">
        <v>141</v>
      </c>
      <c r="C132" s="636"/>
      <c r="D132" s="636"/>
      <c r="E132" s="636"/>
      <c r="F132" s="636"/>
      <c r="G132" s="636"/>
      <c r="H132" s="636"/>
      <c r="I132" s="637"/>
    </row>
    <row r="133" spans="1:9">
      <c r="A133" s="199"/>
      <c r="B133" s="648" t="s">
        <v>151</v>
      </c>
      <c r="C133" s="648"/>
      <c r="D133" s="648"/>
      <c r="E133" s="648"/>
      <c r="F133" s="648"/>
      <c r="G133" s="648"/>
      <c r="H133" s="98">
        <v>0</v>
      </c>
      <c r="I133" s="96">
        <f>TRUNC(H133*I145,2)</f>
        <v>0</v>
      </c>
    </row>
    <row r="134" spans="1:9">
      <c r="A134" s="199"/>
      <c r="B134" s="635" t="s">
        <v>152</v>
      </c>
      <c r="C134" s="636"/>
      <c r="D134" s="636"/>
      <c r="E134" s="636"/>
      <c r="F134" s="636"/>
      <c r="G134" s="636"/>
      <c r="H134" s="636"/>
      <c r="I134" s="637"/>
    </row>
    <row r="135" spans="1:9">
      <c r="A135" s="199"/>
      <c r="B135" s="648" t="s">
        <v>153</v>
      </c>
      <c r="C135" s="648"/>
      <c r="D135" s="648"/>
      <c r="E135" s="648"/>
      <c r="F135" s="648"/>
      <c r="G135" s="648"/>
      <c r="H135" s="98">
        <v>0.05</v>
      </c>
      <c r="I135" s="96">
        <f>TRUNC(H135*I145,2)</f>
        <v>291.18</v>
      </c>
    </row>
    <row r="136" spans="1:9">
      <c r="A136" s="706" t="s">
        <v>101</v>
      </c>
      <c r="B136" s="706"/>
      <c r="C136" s="706"/>
      <c r="D136" s="706"/>
      <c r="E136" s="706"/>
      <c r="F136" s="706"/>
      <c r="G136" s="706"/>
      <c r="H136" s="200">
        <f>SUM(H124:H135)</f>
        <v>0.20440000000000003</v>
      </c>
      <c r="I136" s="102">
        <f>TRUNC(SUM(I124:I135),2)</f>
        <v>1210.0999999999999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2656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2218.8000000000002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175.62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543.03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TRUNC(SUM(I140:I144),2)</f>
        <v>5823.61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1210.0999999999999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TRUNC(SUM(I145:I146),2)</f>
        <v>7033.71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Motorista</v>
      </c>
      <c r="B151" s="682"/>
      <c r="C151" s="683">
        <f>(I147-I117)</f>
        <v>7033.71</v>
      </c>
      <c r="D151" s="683"/>
      <c r="E151" s="72">
        <v>1</v>
      </c>
      <c r="F151" s="683">
        <f>(I147-I117)</f>
        <v>7033.71</v>
      </c>
      <c r="G151" s="683"/>
      <c r="H151" s="72">
        <v>1</v>
      </c>
      <c r="I151" s="141">
        <f>F151*H151</f>
        <v>7033.71</v>
      </c>
    </row>
    <row r="152" spans="1: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f>I117</f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SUM(I152,I151)</f>
        <v>7033.71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I153*12</f>
        <v>84404.52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538</v>
      </c>
      <c r="B158" s="692"/>
      <c r="C158" s="692"/>
      <c r="D158" s="692"/>
      <c r="E158" s="32"/>
      <c r="F158" s="692" t="s">
        <v>538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98">
        <v>6</v>
      </c>
      <c r="B160" s="37">
        <v>1</v>
      </c>
      <c r="C160" s="34">
        <v>44</v>
      </c>
      <c r="D160" s="38">
        <f>A160*B160*C160</f>
        <v>264</v>
      </c>
      <c r="E160" s="32"/>
      <c r="F160" s="231">
        <v>33</v>
      </c>
      <c r="G160" s="34">
        <v>1</v>
      </c>
      <c r="H160" s="34">
        <v>22</v>
      </c>
      <c r="I160" s="39">
        <f>F160*G160*H160</f>
        <v>726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2656</v>
      </c>
      <c r="B163" s="34">
        <v>6</v>
      </c>
      <c r="C163" s="38">
        <f>A163*B163/100</f>
        <v>159.36000000000001</v>
      </c>
      <c r="D163" s="41"/>
      <c r="E163" s="32"/>
      <c r="F163" s="38">
        <f>I160</f>
        <v>726</v>
      </c>
      <c r="G163" s="45">
        <v>0.1</v>
      </c>
      <c r="H163" s="38">
        <f>F163*G163</f>
        <v>72.600000000000009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159.36000000000001</v>
      </c>
      <c r="C166" s="51">
        <f>A166-B166</f>
        <v>104.63999999999999</v>
      </c>
      <c r="D166" s="52"/>
      <c r="E166" s="32"/>
      <c r="F166" s="38">
        <f>I160</f>
        <v>726</v>
      </c>
      <c r="G166" s="53">
        <f>H163</f>
        <v>72.600000000000009</v>
      </c>
      <c r="H166" s="51">
        <f>F166-G166</f>
        <v>653.4</v>
      </c>
      <c r="I166" s="54"/>
    </row>
    <row r="167" spans="1:9" ht="26.25" customHeight="1" thickBot="1">
      <c r="A167" s="236"/>
      <c r="B167" s="236"/>
      <c r="C167" s="236"/>
      <c r="D167" s="40"/>
      <c r="E167" s="32"/>
      <c r="F167" s="236"/>
      <c r="G167" s="237"/>
      <c r="H167" s="236"/>
      <c r="I167" s="40"/>
    </row>
    <row r="168" spans="1:9" ht="26.25" customHeight="1">
      <c r="A168" s="710" t="s">
        <v>521</v>
      </c>
      <c r="B168" s="711"/>
      <c r="C168" s="711"/>
      <c r="D168" s="238" t="s">
        <v>515</v>
      </c>
      <c r="E168" s="238" t="s">
        <v>516</v>
      </c>
      <c r="F168" s="718" t="s">
        <v>525</v>
      </c>
      <c r="G168" s="719"/>
      <c r="H168" s="239" t="s">
        <v>524</v>
      </c>
      <c r="I168" s="247" t="s">
        <v>526</v>
      </c>
    </row>
    <row r="169" spans="1:9" ht="26.25" customHeight="1">
      <c r="A169" s="727" t="s">
        <v>520</v>
      </c>
      <c r="B169" s="728"/>
      <c r="C169" s="728"/>
      <c r="D169" s="240">
        <v>0.5</v>
      </c>
      <c r="E169" s="250">
        <v>10</v>
      </c>
      <c r="F169" s="241">
        <f>((I31/220)*50%)+(I31/220)</f>
        <v>18.109090909090909</v>
      </c>
      <c r="G169" s="241">
        <f>F169*E169</f>
        <v>181.09090909090909</v>
      </c>
      <c r="H169" s="242">
        <f>(G169/25)*5</f>
        <v>36.218181818181819</v>
      </c>
      <c r="I169" s="248">
        <f>TRUNC((G169+H169),2)</f>
        <v>217.3</v>
      </c>
    </row>
    <row r="170" spans="1:9" ht="26.25" customHeight="1">
      <c r="A170" s="729" t="s">
        <v>517</v>
      </c>
      <c r="B170" s="730"/>
      <c r="C170" s="730"/>
      <c r="D170" s="712" t="s">
        <v>518</v>
      </c>
      <c r="E170" s="724">
        <v>2</v>
      </c>
      <c r="F170" s="241">
        <f>(I31/220)</f>
        <v>12.072727272727272</v>
      </c>
      <c r="G170" s="715">
        <f>F173*E170</f>
        <v>43.461818181818181</v>
      </c>
      <c r="H170" s="721">
        <f>((G170/25)*5)</f>
        <v>8.6923636363636358</v>
      </c>
      <c r="I170" s="720">
        <f t="shared" ref="I170" si="1">TRUNC((G170+H170),2)</f>
        <v>52.15</v>
      </c>
    </row>
    <row r="171" spans="1:9" ht="26.25" customHeight="1">
      <c r="A171" s="731"/>
      <c r="B171" s="732"/>
      <c r="C171" s="732"/>
      <c r="D171" s="713"/>
      <c r="E171" s="725"/>
      <c r="F171" s="243">
        <f>F170*50%</f>
        <v>6.0363636363636362</v>
      </c>
      <c r="G171" s="716"/>
      <c r="H171" s="722"/>
      <c r="I171" s="720"/>
    </row>
    <row r="172" spans="1:9" ht="26.25" customHeight="1">
      <c r="A172" s="731"/>
      <c r="B172" s="732"/>
      <c r="C172" s="732"/>
      <c r="D172" s="713"/>
      <c r="E172" s="725"/>
      <c r="F172" s="243">
        <f>(F170+F171)*20%</f>
        <v>3.621818181818182</v>
      </c>
      <c r="G172" s="716"/>
      <c r="H172" s="722"/>
      <c r="I172" s="720"/>
    </row>
    <row r="173" spans="1:9" ht="26.25" customHeight="1">
      <c r="A173" s="733"/>
      <c r="B173" s="734"/>
      <c r="C173" s="734"/>
      <c r="D173" s="714"/>
      <c r="E173" s="726"/>
      <c r="F173" s="243">
        <f>SUM(F170:F172)</f>
        <v>21.730909090909091</v>
      </c>
      <c r="G173" s="717"/>
      <c r="H173" s="723"/>
      <c r="I173" s="720"/>
    </row>
    <row r="174" spans="1:9" ht="26.25" customHeight="1" thickBot="1">
      <c r="A174" s="707" t="s">
        <v>519</v>
      </c>
      <c r="B174" s="708"/>
      <c r="C174" s="709"/>
      <c r="D174" s="244" t="s">
        <v>522</v>
      </c>
      <c r="E174" s="244">
        <v>10</v>
      </c>
      <c r="F174" s="245">
        <f>I31/220 *2</f>
        <v>24.145454545454545</v>
      </c>
      <c r="G174" s="245">
        <f>F174*E174</f>
        <v>241.45454545454544</v>
      </c>
      <c r="H174" s="246" t="s">
        <v>523</v>
      </c>
      <c r="I174" s="249">
        <f>TRUNC((G174),2)</f>
        <v>241.45</v>
      </c>
    </row>
    <row r="175" spans="1:9" ht="14.5">
      <c r="A175" s="235" t="s">
        <v>555</v>
      </c>
      <c r="B175" s="235"/>
      <c r="C175" s="235"/>
      <c r="D175" s="235"/>
      <c r="E175" s="235"/>
      <c r="F175" s="235"/>
      <c r="G175" s="235"/>
      <c r="H175" s="235"/>
      <c r="I175" s="235"/>
    </row>
  </sheetData>
  <mergeCells count="160"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20:B20"/>
    <mergeCell ref="A22:I22"/>
    <mergeCell ref="B23:H23"/>
    <mergeCell ref="B24:H24"/>
    <mergeCell ref="B25:H25"/>
    <mergeCell ref="B26:H26"/>
    <mergeCell ref="A17:B17"/>
    <mergeCell ref="C17:D17"/>
    <mergeCell ref="E17:I17"/>
    <mergeCell ref="A18:B18"/>
    <mergeCell ref="C18:D18"/>
    <mergeCell ref="E18:I18"/>
    <mergeCell ref="B35:E35"/>
    <mergeCell ref="B36:E36"/>
    <mergeCell ref="B37:E37"/>
    <mergeCell ref="A38:H38"/>
    <mergeCell ref="A40:I40"/>
    <mergeCell ref="A41:G41"/>
    <mergeCell ref="B27:H27"/>
    <mergeCell ref="A29:I29"/>
    <mergeCell ref="B31:E31"/>
    <mergeCell ref="B32:E32"/>
    <mergeCell ref="B33:E33"/>
    <mergeCell ref="B34:E34"/>
    <mergeCell ref="B49:G49"/>
    <mergeCell ref="B50:G50"/>
    <mergeCell ref="B51:G51"/>
    <mergeCell ref="B52:G52"/>
    <mergeCell ref="B53:G53"/>
    <mergeCell ref="B54:G54"/>
    <mergeCell ref="B42:G42"/>
    <mergeCell ref="B43:G43"/>
    <mergeCell ref="B44:G44"/>
    <mergeCell ref="A45:G45"/>
    <mergeCell ref="A47:I47"/>
    <mergeCell ref="B48:G48"/>
    <mergeCell ref="B63:G63"/>
    <mergeCell ref="B64:G64"/>
    <mergeCell ref="B65:G65"/>
    <mergeCell ref="B66:G66"/>
    <mergeCell ref="B67:G67"/>
    <mergeCell ref="B68:G68"/>
    <mergeCell ref="B55:G55"/>
    <mergeCell ref="B56:G56"/>
    <mergeCell ref="A57:G57"/>
    <mergeCell ref="B60:G60"/>
    <mergeCell ref="B61:G61"/>
    <mergeCell ref="B62:G62"/>
    <mergeCell ref="B76:H76"/>
    <mergeCell ref="A80:H80"/>
    <mergeCell ref="A81:I81"/>
    <mergeCell ref="A82:I82"/>
    <mergeCell ref="B83:G83"/>
    <mergeCell ref="B84:G84"/>
    <mergeCell ref="B69:G69"/>
    <mergeCell ref="B70:G70"/>
    <mergeCell ref="B71:G71"/>
    <mergeCell ref="B72:G72"/>
    <mergeCell ref="A73:H73"/>
    <mergeCell ref="A75:I75"/>
    <mergeCell ref="A91:I91"/>
    <mergeCell ref="A92:I92"/>
    <mergeCell ref="A93:I93"/>
    <mergeCell ref="B94:G94"/>
    <mergeCell ref="B95:G95"/>
    <mergeCell ref="B96:G96"/>
    <mergeCell ref="B85:G85"/>
    <mergeCell ref="B86:G86"/>
    <mergeCell ref="B87:G87"/>
    <mergeCell ref="B88:G88"/>
    <mergeCell ref="B89:G89"/>
    <mergeCell ref="A90:G90"/>
    <mergeCell ref="A103:G103"/>
    <mergeCell ref="B104:G104"/>
    <mergeCell ref="B105:G105"/>
    <mergeCell ref="A106:G106"/>
    <mergeCell ref="A108:I108"/>
    <mergeCell ref="B109:H109"/>
    <mergeCell ref="B97:G97"/>
    <mergeCell ref="B98:G98"/>
    <mergeCell ref="B99:G99"/>
    <mergeCell ref="B100:G100"/>
    <mergeCell ref="A101:G101"/>
    <mergeCell ref="A102:I102"/>
    <mergeCell ref="B116:G116"/>
    <mergeCell ref="B117:G117"/>
    <mergeCell ref="B118:G118"/>
    <mergeCell ref="B119:G119"/>
    <mergeCell ref="A120:G120"/>
    <mergeCell ref="A122:I122"/>
    <mergeCell ref="B110:H110"/>
    <mergeCell ref="B111:H111"/>
    <mergeCell ref="A112:H112"/>
    <mergeCell ref="A113:I113"/>
    <mergeCell ref="A114:I114"/>
    <mergeCell ref="B115:G115"/>
    <mergeCell ref="B129:G129"/>
    <mergeCell ref="B130:G130"/>
    <mergeCell ref="B131:G131"/>
    <mergeCell ref="B132:I132"/>
    <mergeCell ref="B133:G133"/>
    <mergeCell ref="B134:I134"/>
    <mergeCell ref="B123:G123"/>
    <mergeCell ref="B124:G124"/>
    <mergeCell ref="B125:G125"/>
    <mergeCell ref="B126:G126"/>
    <mergeCell ref="B127:I127"/>
    <mergeCell ref="B128:G128"/>
    <mergeCell ref="B143:H143"/>
    <mergeCell ref="B144:H144"/>
    <mergeCell ref="B145:H145"/>
    <mergeCell ref="B146:H146"/>
    <mergeCell ref="A147:H147"/>
    <mergeCell ref="A149:I149"/>
    <mergeCell ref="B135:G135"/>
    <mergeCell ref="A136:G136"/>
    <mergeCell ref="A138:I138"/>
    <mergeCell ref="B140:H140"/>
    <mergeCell ref="B141:H141"/>
    <mergeCell ref="B142:H142"/>
    <mergeCell ref="A152:B152"/>
    <mergeCell ref="C152:D152"/>
    <mergeCell ref="F152:G152"/>
    <mergeCell ref="C153:D153"/>
    <mergeCell ref="F153:G153"/>
    <mergeCell ref="B156:G156"/>
    <mergeCell ref="A150:B150"/>
    <mergeCell ref="C150:D150"/>
    <mergeCell ref="F150:G150"/>
    <mergeCell ref="A151:B151"/>
    <mergeCell ref="C151:D151"/>
    <mergeCell ref="F151:G151"/>
    <mergeCell ref="I170:I173"/>
    <mergeCell ref="A174:C174"/>
    <mergeCell ref="A169:C169"/>
    <mergeCell ref="A170:C173"/>
    <mergeCell ref="D170:D173"/>
    <mergeCell ref="E170:E173"/>
    <mergeCell ref="G170:G173"/>
    <mergeCell ref="H170:H173"/>
    <mergeCell ref="A157:D157"/>
    <mergeCell ref="F157:I157"/>
    <mergeCell ref="A158:D158"/>
    <mergeCell ref="F158:I158"/>
    <mergeCell ref="A168:C168"/>
    <mergeCell ref="F168:G168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3" firstPageNumber="0" orientation="portrait" verticalDpi="300" r:id="rId1"/>
  <headerFooter alignWithMargins="0"/>
  <rowBreaks count="1" manualBreakCount="1">
    <brk id="9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J168"/>
  <sheetViews>
    <sheetView view="pageBreakPreview" zoomScaleNormal="96" zoomScaleSheetLayoutView="100" workbookViewId="0">
      <selection activeCell="I11" sqref="I11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10">
      <c r="A1" s="632" t="s">
        <v>301</v>
      </c>
      <c r="B1" s="632"/>
      <c r="C1" s="632"/>
      <c r="D1" s="632"/>
      <c r="E1" s="632"/>
      <c r="F1" s="632"/>
      <c r="G1" s="632"/>
      <c r="H1" s="632"/>
      <c r="I1" s="632"/>
      <c r="J1" s="2" t="s">
        <v>597</v>
      </c>
    </row>
    <row r="2" spans="1:10">
      <c r="A2" s="84"/>
      <c r="B2" s="84"/>
      <c r="C2" s="84"/>
      <c r="D2" s="84"/>
      <c r="E2" s="84"/>
      <c r="F2" s="84"/>
      <c r="G2" s="84"/>
      <c r="H2" s="84"/>
      <c r="I2" s="84"/>
      <c r="J2" s="2" t="s">
        <v>597</v>
      </c>
    </row>
    <row r="3" spans="1:10">
      <c r="A3" s="155" t="s">
        <v>418</v>
      </c>
      <c r="B3" s="153"/>
      <c r="C3" s="156"/>
      <c r="D3" s="156"/>
      <c r="E3" s="84"/>
      <c r="F3" s="84"/>
      <c r="G3" s="84"/>
      <c r="H3" s="84"/>
      <c r="I3" s="84"/>
      <c r="J3" s="2" t="s">
        <v>597</v>
      </c>
    </row>
    <row r="4" spans="1:10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  <c r="J4" s="2" t="s">
        <v>597</v>
      </c>
    </row>
    <row r="5" spans="1:10">
      <c r="A5" s="84"/>
      <c r="B5" s="84"/>
      <c r="C5" s="84"/>
      <c r="D5" s="84"/>
      <c r="E5" s="84"/>
      <c r="F5" s="84"/>
      <c r="G5" s="84"/>
      <c r="H5" s="84"/>
      <c r="I5" s="84"/>
      <c r="J5" s="2" t="s">
        <v>597</v>
      </c>
    </row>
    <row r="6" spans="1:10">
      <c r="A6" s="700" t="s">
        <v>6</v>
      </c>
      <c r="B6" s="700"/>
      <c r="C6" s="700"/>
      <c r="D6" s="700"/>
      <c r="E6" s="700"/>
      <c r="F6" s="700"/>
      <c r="G6" s="700"/>
      <c r="H6" s="700"/>
      <c r="I6" s="700"/>
      <c r="J6" s="2" t="s">
        <v>597</v>
      </c>
    </row>
    <row r="7" spans="1:10">
      <c r="A7" s="3"/>
      <c r="B7" s="3"/>
      <c r="C7" s="3"/>
      <c r="D7" s="3"/>
      <c r="E7" s="3"/>
      <c r="F7" s="3"/>
      <c r="G7" s="3"/>
      <c r="H7" s="3"/>
      <c r="I7" s="3"/>
      <c r="J7" s="2" t="s">
        <v>597</v>
      </c>
    </row>
    <row r="8" spans="1:10">
      <c r="A8" s="634" t="s">
        <v>128</v>
      </c>
      <c r="B8" s="634"/>
      <c r="C8" s="634"/>
      <c r="D8" s="634"/>
      <c r="E8" s="634"/>
      <c r="F8" s="634"/>
      <c r="G8" s="634"/>
      <c r="H8" s="634"/>
      <c r="I8" s="634"/>
      <c r="J8" s="2" t="s">
        <v>597</v>
      </c>
    </row>
    <row r="9" spans="1:10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  <c r="J9" s="2" t="s">
        <v>597</v>
      </c>
    </row>
    <row r="10" spans="1:10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  <c r="J10" s="2" t="s">
        <v>597</v>
      </c>
    </row>
    <row r="11" spans="1:10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  <c r="J11" s="2" t="s">
        <v>597</v>
      </c>
    </row>
    <row r="12" spans="1:10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  <c r="J12" s="2" t="s">
        <v>597</v>
      </c>
    </row>
    <row r="13" spans="1:10">
      <c r="A13" s="143"/>
      <c r="B13" s="3"/>
      <c r="C13" s="3"/>
      <c r="D13" s="3"/>
      <c r="E13" s="3"/>
      <c r="F13" s="3"/>
      <c r="G13" s="3"/>
      <c r="H13" s="143"/>
      <c r="I13" s="143"/>
      <c r="J13" s="2" t="s">
        <v>597</v>
      </c>
    </row>
    <row r="14" spans="1:10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  <c r="J14" s="2" t="s">
        <v>597</v>
      </c>
    </row>
    <row r="15" spans="1:10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  <c r="J15" s="2" t="s">
        <v>597</v>
      </c>
    </row>
    <row r="16" spans="1:10">
      <c r="A16" s="701" t="s">
        <v>354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  <c r="J16" s="2" t="s">
        <v>597</v>
      </c>
    </row>
    <row r="17" spans="1:10">
      <c r="A17" s="701"/>
      <c r="B17" s="701"/>
      <c r="C17" s="638"/>
      <c r="D17" s="638"/>
      <c r="E17" s="701"/>
      <c r="F17" s="701"/>
      <c r="G17" s="701"/>
      <c r="H17" s="701"/>
      <c r="I17" s="701"/>
      <c r="J17" s="2" t="s">
        <v>597</v>
      </c>
    </row>
    <row r="18" spans="1:10">
      <c r="A18" s="701"/>
      <c r="B18" s="701"/>
      <c r="C18" s="701"/>
      <c r="D18" s="701"/>
      <c r="E18" s="701"/>
      <c r="F18" s="701"/>
      <c r="G18" s="701"/>
      <c r="H18" s="701"/>
      <c r="I18" s="701"/>
      <c r="J18" s="2" t="s">
        <v>597</v>
      </c>
    </row>
    <row r="19" spans="1:10">
      <c r="A19" s="143"/>
      <c r="B19" s="143"/>
      <c r="C19" s="143"/>
      <c r="D19" s="143"/>
      <c r="E19" s="143"/>
      <c r="F19" s="143"/>
      <c r="G19" s="143"/>
      <c r="H19" s="143"/>
      <c r="I19" s="143"/>
      <c r="J19" s="2" t="s">
        <v>597</v>
      </c>
    </row>
    <row r="20" spans="1:10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  <c r="J20" s="2" t="s">
        <v>597</v>
      </c>
    </row>
    <row r="21" spans="1:10">
      <c r="A21" s="5" t="s">
        <v>98</v>
      </c>
      <c r="B21" s="3"/>
      <c r="C21" s="3"/>
      <c r="D21" s="3"/>
      <c r="E21" s="3"/>
      <c r="F21" s="3"/>
      <c r="G21" s="3"/>
      <c r="H21" s="143"/>
      <c r="I21" s="143"/>
      <c r="J21" s="2" t="s">
        <v>597</v>
      </c>
    </row>
    <row r="22" spans="1:1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2" t="s">
        <v>597</v>
      </c>
    </row>
    <row r="23" spans="1:1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354</v>
      </c>
      <c r="J23" s="2" t="s">
        <v>597</v>
      </c>
    </row>
    <row r="24" spans="1:10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357</v>
      </c>
      <c r="J24" s="2" t="s">
        <v>597</v>
      </c>
    </row>
    <row r="25" spans="1:1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58">
        <v>2242</v>
      </c>
    </row>
    <row r="26" spans="1:1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354</v>
      </c>
    </row>
    <row r="27" spans="1:1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10">
      <c r="A28" s="143"/>
      <c r="B28" s="3"/>
      <c r="C28" s="3"/>
      <c r="D28" s="3"/>
      <c r="E28" s="3"/>
      <c r="F28" s="3"/>
      <c r="G28" s="3"/>
      <c r="H28" s="3"/>
      <c r="I28" s="6"/>
    </row>
    <row r="29" spans="1:10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1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10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(I25/220)*200</f>
        <v>2038.1818181818182</v>
      </c>
    </row>
    <row r="32" spans="1:10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/>
      <c r="I32" s="29">
        <v>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8" t="s">
        <v>359</v>
      </c>
      <c r="C37" s="648"/>
      <c r="D37" s="648"/>
      <c r="E37" s="648"/>
      <c r="F37" s="648"/>
      <c r="G37" s="648"/>
      <c r="H37" s="310">
        <v>80</v>
      </c>
      <c r="I37" s="29">
        <v>80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2118.1817999999998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176.44454393999999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58.885454039999992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235.32990000000001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470.70234000000005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58.837792500000006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70.605350999999999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35.302675499999999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23.535117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14.1210702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4.7070233999999997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188.280936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866.09230000000002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A159</f>
        <v>6</v>
      </c>
      <c r="I61" s="70">
        <f>C165</f>
        <v>141.70909090909089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F159</f>
        <v>26.833300000000001</v>
      </c>
      <c r="I62" s="70">
        <f>H165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929.20820000000003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235.32990000000001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866.09230000000002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929.20820000000003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2030.6304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8.8257574999999999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0.70606059999999993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72.865453920000007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41.186868333333329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15.156767546666668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1.3179797866666669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140.05879999999999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357.40591666666666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95.308244444444455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1.5256829400773333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0.78629301666666673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6.1213341607038725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461.1474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/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76"/>
      <c r="I105" s="29"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/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461.1474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461.1474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Uniformes!H25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/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230.16659999999999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17">
        <v>0.05</v>
      </c>
      <c r="I124" s="96">
        <f>TRUNC(H124*I145,2)</f>
        <v>249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17">
        <v>6.7900000000000002E-2</v>
      </c>
      <c r="I125" s="96">
        <f>TRUNC(H125*(I124+I145),2)</f>
        <v>355.06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672"/>
      <c r="I127" s="673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23">
        <v>6.4999999999999997E-3</v>
      </c>
      <c r="I128" s="29">
        <f>TRUNC(H128*I145,2)</f>
        <v>32.369999999999997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23">
        <v>0.03</v>
      </c>
      <c r="I129" s="29">
        <f>TRUNC(H129*I145,2)</f>
        <v>149.4</v>
      </c>
    </row>
    <row r="130" spans="1:9">
      <c r="A130" s="9"/>
      <c r="B130" s="645"/>
      <c r="C130" s="645"/>
      <c r="D130" s="645"/>
      <c r="E130" s="645"/>
      <c r="F130" s="645"/>
      <c r="G130" s="645"/>
      <c r="H130" s="23"/>
      <c r="I130" s="29">
        <f>TRUNC(H130*I145,2)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23"/>
      <c r="I131" s="29">
        <f>TRUNC(H131*I145,2)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672"/>
      <c r="I132" s="673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23">
        <v>0</v>
      </c>
      <c r="I133" s="29">
        <f>TRUNC(H133*I145,2)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672"/>
      <c r="I134" s="673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98">
        <v>0.05</v>
      </c>
      <c r="I135" s="29">
        <f>TRUNC(H135*I145,2)</f>
        <v>249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1034.83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2118.1817999999998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2030.6304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140.05879999999999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461.1474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230.16659999999999</v>
      </c>
    </row>
    <row r="145" spans="1:1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4980.1850000000004</v>
      </c>
    </row>
    <row r="146" spans="1:1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1034.83</v>
      </c>
    </row>
    <row r="147" spans="1:1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6015.0150000000003</v>
      </c>
    </row>
    <row r="148" spans="1:10">
      <c r="A148" s="5"/>
      <c r="B148" s="5"/>
      <c r="C148" s="5"/>
      <c r="D148" s="5"/>
      <c r="E148" s="5"/>
      <c r="F148" s="5"/>
      <c r="G148" s="5"/>
      <c r="H148" s="5"/>
      <c r="I148" s="69"/>
    </row>
    <row r="149" spans="1:1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10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10" ht="27.65" customHeight="1">
      <c r="A151" s="681" t="str">
        <f>I23</f>
        <v>Portaria</v>
      </c>
      <c r="B151" s="682"/>
      <c r="C151" s="683">
        <f>(I147-I117)</f>
        <v>6015.0150000000003</v>
      </c>
      <c r="D151" s="683"/>
      <c r="E151" s="72">
        <v>1</v>
      </c>
      <c r="F151" s="683">
        <f>(I147-I117)</f>
        <v>6015.0150000000003</v>
      </c>
      <c r="G151" s="683"/>
      <c r="H151" s="72">
        <v>1</v>
      </c>
      <c r="I151" s="141">
        <f>F151*H151</f>
        <v>6015.0150000000003</v>
      </c>
    </row>
    <row r="152" spans="1:10">
      <c r="A152" s="74" t="s">
        <v>306</v>
      </c>
      <c r="B152" s="75"/>
      <c r="C152" s="683"/>
      <c r="D152" s="697"/>
      <c r="E152" s="145"/>
      <c r="F152" s="698"/>
      <c r="G152" s="698"/>
      <c r="H152" s="89"/>
      <c r="I152" s="76">
        <f>TRUNC((I151),4)</f>
        <v>6015.0150000000003</v>
      </c>
    </row>
    <row r="153" spans="1:10">
      <c r="A153" s="142" t="s">
        <v>307</v>
      </c>
      <c r="B153" s="87"/>
      <c r="C153" s="90"/>
      <c r="D153" s="87"/>
      <c r="E153" s="87"/>
      <c r="F153" s="87"/>
      <c r="G153" s="87"/>
      <c r="H153" s="91"/>
      <c r="I153" s="88">
        <f>TRUNC((I152*1),4)</f>
        <v>6015.0150000000003</v>
      </c>
    </row>
    <row r="154" spans="1:10">
      <c r="A154" s="85"/>
      <c r="B154" s="85"/>
      <c r="C154" s="85"/>
      <c r="D154" s="85"/>
      <c r="E154" s="85"/>
      <c r="F154" s="85"/>
      <c r="G154" s="85"/>
      <c r="H154" s="85"/>
      <c r="I154" s="86"/>
      <c r="J154" s="2" t="s">
        <v>597</v>
      </c>
    </row>
    <row r="155" spans="1:10" ht="14.5" thickBot="1">
      <c r="A155" s="143"/>
      <c r="B155" s="699" t="s">
        <v>305</v>
      </c>
      <c r="C155" s="699"/>
      <c r="D155" s="699"/>
      <c r="E155" s="699"/>
      <c r="F155" s="699"/>
      <c r="G155" s="699"/>
      <c r="H155" s="95"/>
      <c r="I155" s="95"/>
      <c r="J155" s="2" t="s">
        <v>597</v>
      </c>
    </row>
    <row r="156" spans="1:10">
      <c r="A156" s="687" t="s">
        <v>131</v>
      </c>
      <c r="B156" s="688"/>
      <c r="C156" s="688"/>
      <c r="D156" s="688"/>
      <c r="E156" s="31"/>
      <c r="F156" s="689" t="s">
        <v>132</v>
      </c>
      <c r="G156" s="689"/>
      <c r="H156" s="689"/>
      <c r="I156" s="690"/>
      <c r="J156" s="2" t="s">
        <v>597</v>
      </c>
    </row>
    <row r="157" spans="1:10">
      <c r="A157" s="691" t="s">
        <v>140</v>
      </c>
      <c r="B157" s="692"/>
      <c r="C157" s="692"/>
      <c r="D157" s="692"/>
      <c r="E157" s="32"/>
      <c r="F157" s="692" t="s">
        <v>439</v>
      </c>
      <c r="G157" s="692"/>
      <c r="H157" s="692"/>
      <c r="I157" s="693"/>
      <c r="J157" s="2" t="s">
        <v>597</v>
      </c>
    </row>
    <row r="158" spans="1:10">
      <c r="A158" s="33" t="s">
        <v>133</v>
      </c>
      <c r="B158" s="34" t="s">
        <v>142</v>
      </c>
      <c r="C158" s="34" t="s">
        <v>134</v>
      </c>
      <c r="D158" s="34" t="s">
        <v>24</v>
      </c>
      <c r="E158" s="32"/>
      <c r="F158" s="34" t="s">
        <v>133</v>
      </c>
      <c r="G158" s="34" t="s">
        <v>142</v>
      </c>
      <c r="H158" s="34" t="s">
        <v>134</v>
      </c>
      <c r="I158" s="35" t="s">
        <v>101</v>
      </c>
      <c r="J158" s="2" t="s">
        <v>597</v>
      </c>
    </row>
    <row r="159" spans="1:10">
      <c r="A159" s="36">
        <v>6</v>
      </c>
      <c r="B159" s="37">
        <v>1</v>
      </c>
      <c r="C159" s="34">
        <v>44</v>
      </c>
      <c r="D159" s="38">
        <f>A159*B159*C159</f>
        <v>264</v>
      </c>
      <c r="E159" s="32"/>
      <c r="F159" s="203">
        <v>26.833300000000001</v>
      </c>
      <c r="G159" s="34">
        <v>1</v>
      </c>
      <c r="H159" s="34">
        <v>30</v>
      </c>
      <c r="I159" s="39">
        <f>F159*G159*H159</f>
        <v>804.99900000000002</v>
      </c>
      <c r="J159" s="2" t="s">
        <v>597</v>
      </c>
    </row>
    <row r="160" spans="1:10">
      <c r="A160" s="77"/>
      <c r="B160" s="78"/>
      <c r="C160" s="79"/>
      <c r="D160" s="80"/>
      <c r="E160" s="32"/>
      <c r="F160" s="81"/>
      <c r="G160" s="79"/>
      <c r="H160" s="79"/>
      <c r="I160" s="82"/>
      <c r="J160" s="2" t="s">
        <v>597</v>
      </c>
    </row>
    <row r="161" spans="1:10" ht="18.649999999999999" customHeight="1">
      <c r="A161" s="33" t="s">
        <v>33</v>
      </c>
      <c r="B161" s="34" t="s">
        <v>3</v>
      </c>
      <c r="C161" s="34" t="s">
        <v>24</v>
      </c>
      <c r="D161" s="41"/>
      <c r="E161" s="32"/>
      <c r="F161" s="34" t="s">
        <v>24</v>
      </c>
      <c r="G161" s="34"/>
      <c r="H161" s="34" t="s">
        <v>24</v>
      </c>
      <c r="I161" s="43"/>
      <c r="J161" s="2" t="s">
        <v>597</v>
      </c>
    </row>
    <row r="162" spans="1:10">
      <c r="A162" s="174">
        <f>I31</f>
        <v>2038.1818181818182</v>
      </c>
      <c r="B162" s="34">
        <v>6</v>
      </c>
      <c r="C162" s="38">
        <f>A162*B162/100</f>
        <v>122.2909090909091</v>
      </c>
      <c r="D162" s="41"/>
      <c r="E162" s="32"/>
      <c r="F162" s="38">
        <f>I159</f>
        <v>804.99900000000002</v>
      </c>
      <c r="G162" s="45">
        <v>0.2</v>
      </c>
      <c r="H162" s="38">
        <f>F162*G162</f>
        <v>160.99980000000002</v>
      </c>
      <c r="I162" s="43"/>
      <c r="J162" s="2" t="s">
        <v>597</v>
      </c>
    </row>
    <row r="163" spans="1:10">
      <c r="A163" s="46"/>
      <c r="B163" s="40"/>
      <c r="C163" s="40"/>
      <c r="D163" s="41"/>
      <c r="E163" s="32"/>
      <c r="F163" s="42"/>
      <c r="G163" s="40"/>
      <c r="H163" s="40"/>
      <c r="I163" s="43"/>
      <c r="J163" s="2" t="s">
        <v>597</v>
      </c>
    </row>
    <row r="164" spans="1:10" ht="14.5" thickBot="1">
      <c r="A164" s="47" t="s">
        <v>135</v>
      </c>
      <c r="B164" s="48"/>
      <c r="C164" s="49"/>
      <c r="D164" s="41"/>
      <c r="E164" s="32"/>
      <c r="F164" s="48" t="s">
        <v>136</v>
      </c>
      <c r="G164" s="48"/>
      <c r="H164" s="49"/>
      <c r="I164" s="43"/>
      <c r="J164" s="2" t="s">
        <v>597</v>
      </c>
    </row>
    <row r="165" spans="1:10" ht="26.25" customHeight="1" thickBot="1">
      <c r="A165" s="44">
        <f>D159</f>
        <v>264</v>
      </c>
      <c r="B165" s="50">
        <f>C162</f>
        <v>122.2909090909091</v>
      </c>
      <c r="C165" s="51">
        <f>A165-B165</f>
        <v>141.70909090909089</v>
      </c>
      <c r="D165" s="52"/>
      <c r="E165" s="32"/>
      <c r="F165" s="38">
        <f>I159</f>
        <v>804.99900000000002</v>
      </c>
      <c r="G165" s="53">
        <f>H162</f>
        <v>160.99980000000002</v>
      </c>
      <c r="H165" s="51">
        <f>F165-G165</f>
        <v>643.99919999999997</v>
      </c>
      <c r="I165" s="54"/>
      <c r="J165" s="2" t="s">
        <v>597</v>
      </c>
    </row>
    <row r="166" spans="1:10" ht="26.25" customHeight="1">
      <c r="A166" s="32"/>
      <c r="B166" s="32"/>
      <c r="C166" s="32"/>
      <c r="D166" s="32"/>
      <c r="E166" s="32"/>
      <c r="F166" s="32"/>
      <c r="G166" s="32"/>
      <c r="H166" s="32"/>
      <c r="I166" s="32"/>
    </row>
    <row r="167" spans="1:10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10">
      <c r="A168" s="83"/>
      <c r="B168" s="84"/>
      <c r="C168" s="84"/>
      <c r="D168" s="84"/>
      <c r="E168" s="84"/>
      <c r="F168" s="84"/>
      <c r="G168" s="84"/>
      <c r="H168" s="84"/>
      <c r="I168" s="84"/>
    </row>
  </sheetData>
  <mergeCells count="148">
    <mergeCell ref="A1:I1"/>
    <mergeCell ref="A6:I6"/>
    <mergeCell ref="A8:I8"/>
    <mergeCell ref="B9:H9"/>
    <mergeCell ref="B10:H10"/>
    <mergeCell ref="B11:H11"/>
    <mergeCell ref="A20:B20"/>
    <mergeCell ref="A22:I22"/>
    <mergeCell ref="B23:H23"/>
    <mergeCell ref="A17:B17"/>
    <mergeCell ref="C17:D17"/>
    <mergeCell ref="E17:I17"/>
    <mergeCell ref="B12:H12"/>
    <mergeCell ref="A14:I14"/>
    <mergeCell ref="A15:B15"/>
    <mergeCell ref="C15:D15"/>
    <mergeCell ref="E15:I15"/>
    <mergeCell ref="A16:B16"/>
    <mergeCell ref="C16:D16"/>
    <mergeCell ref="E16:I16"/>
    <mergeCell ref="B24:H24"/>
    <mergeCell ref="B25:H25"/>
    <mergeCell ref="B26:H26"/>
    <mergeCell ref="A18:B18"/>
    <mergeCell ref="C18:D18"/>
    <mergeCell ref="E18:I18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B128:G128"/>
    <mergeCell ref="B129:G129"/>
    <mergeCell ref="B130:G130"/>
    <mergeCell ref="B131:G131"/>
    <mergeCell ref="B132:I132"/>
    <mergeCell ref="B133:G133"/>
    <mergeCell ref="A122:I122"/>
    <mergeCell ref="B123:G123"/>
    <mergeCell ref="B124:G124"/>
    <mergeCell ref="B125:G125"/>
    <mergeCell ref="B126:G126"/>
    <mergeCell ref="B127:I127"/>
    <mergeCell ref="B142:H142"/>
    <mergeCell ref="B143:H143"/>
    <mergeCell ref="B144:H144"/>
    <mergeCell ref="B145:H145"/>
    <mergeCell ref="B146:H146"/>
    <mergeCell ref="A147:H147"/>
    <mergeCell ref="B134:I134"/>
    <mergeCell ref="B135:G135"/>
    <mergeCell ref="A136:G136"/>
    <mergeCell ref="A138:I138"/>
    <mergeCell ref="B140:H140"/>
    <mergeCell ref="B141:H141"/>
    <mergeCell ref="A156:D156"/>
    <mergeCell ref="F156:I156"/>
    <mergeCell ref="A157:D157"/>
    <mergeCell ref="F157:I157"/>
    <mergeCell ref="C152:D152"/>
    <mergeCell ref="F152:G152"/>
    <mergeCell ref="B155:G155"/>
    <mergeCell ref="A149:I149"/>
    <mergeCell ref="A150:B150"/>
    <mergeCell ref="C150:D150"/>
    <mergeCell ref="F150:G150"/>
    <mergeCell ref="A151:B151"/>
    <mergeCell ref="C151:D151"/>
    <mergeCell ref="F151:G151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7" firstPageNumber="0" orientation="portrait" verticalDpi="300" r:id="rId1"/>
  <headerFooter alignWithMargins="0"/>
  <rowBreaks count="1" manualBreakCount="1">
    <brk id="9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I168"/>
  <sheetViews>
    <sheetView view="pageBreakPreview" zoomScaleNormal="96" zoomScaleSheetLayoutView="100" workbookViewId="0">
      <selection activeCell="I11" sqref="I11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354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9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354</v>
      </c>
    </row>
    <row r="24" spans="1:9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357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58">
        <v>2242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354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9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(I25/220)*200</f>
        <v>2038.1818181818182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/>
      <c r="I32" s="29">
        <v>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8" t="s">
        <v>359</v>
      </c>
      <c r="C37" s="648"/>
      <c r="D37" s="648"/>
      <c r="E37" s="648"/>
      <c r="F37" s="648"/>
      <c r="G37" s="648"/>
      <c r="H37" s="310">
        <v>80</v>
      </c>
      <c r="I37" s="29">
        <v>80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2118.1817999999998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176.44454393999999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58.885454039999992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235.32990000000001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470.70234000000005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58.837792500000006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70.605350999999999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35.302675499999999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23.535117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14.1210702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4.7070233999999997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188.280936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866.09230000000002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A159</f>
        <v>6</v>
      </c>
      <c r="I61" s="70">
        <f>C165</f>
        <v>141.70909090909089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F159</f>
        <v>26.833300000000001</v>
      </c>
      <c r="I62" s="70">
        <f>H165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929.20820000000003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235.32990000000001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866.09230000000002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929.20820000000003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2030.6304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 ht="15" customHeight="1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 ht="15" customHeight="1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8.8257574999999999</v>
      </c>
    </row>
    <row r="85" spans="1:9" ht="15" customHeight="1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0.70606059999999993</v>
      </c>
    </row>
    <row r="86" spans="1:9" ht="15" customHeight="1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72.865453920000007</v>
      </c>
    </row>
    <row r="87" spans="1:9" ht="15" customHeight="1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41.186868333333329</v>
      </c>
    </row>
    <row r="88" spans="1:9" ht="15" customHeight="1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15.156767546666668</v>
      </c>
    </row>
    <row r="89" spans="1:9" ht="15" customHeight="1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1.3179797866666669</v>
      </c>
    </row>
    <row r="90" spans="1:9" ht="15" customHeight="1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140.05879999999999</v>
      </c>
    </row>
    <row r="91" spans="1:9" ht="15" customHeight="1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 ht="15" customHeight="1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 ht="15" customHeight="1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357.40591666666666</v>
      </c>
    </row>
    <row r="96" spans="1:9" ht="15" customHeight="1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95.308244444444455</v>
      </c>
    </row>
    <row r="97" spans="1:9" ht="15" customHeight="1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1.5256829400773333</v>
      </c>
    </row>
    <row r="98" spans="1:9" ht="15" customHeight="1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0.78629301666666673</v>
      </c>
    </row>
    <row r="99" spans="1:9" ht="15" customHeight="1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6.1213341607038725</v>
      </c>
    </row>
    <row r="100" spans="1:9" ht="15" customHeight="1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 ht="15" customHeight="1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461.1474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/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76"/>
      <c r="I105" s="29"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/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461.1474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461.1474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Uniformes!H25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v>0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230.16659999999999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17">
        <v>0.05</v>
      </c>
      <c r="I124" s="96">
        <f>TRUNC(H124*I145,2)</f>
        <v>249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17">
        <v>6.7900000000000002E-2</v>
      </c>
      <c r="I125" s="96">
        <f>TRUNC(H125*(I124+I145),2)</f>
        <v>355.06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672"/>
      <c r="I127" s="673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23">
        <v>6.4999999999999997E-3</v>
      </c>
      <c r="I128" s="29">
        <f>TRUNC(H128*I145,2)</f>
        <v>32.369999999999997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23">
        <v>0.03</v>
      </c>
      <c r="I129" s="29">
        <f>TRUNC(H129*I145,2)</f>
        <v>149.4</v>
      </c>
    </row>
    <row r="130" spans="1:9">
      <c r="A130" s="9"/>
      <c r="B130" s="645"/>
      <c r="C130" s="645"/>
      <c r="D130" s="645"/>
      <c r="E130" s="645"/>
      <c r="F130" s="645"/>
      <c r="G130" s="645"/>
      <c r="H130" s="23"/>
      <c r="I130" s="29">
        <f>TRUNC(H130*I145,2)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23"/>
      <c r="I131" s="29">
        <f>TRUNC(H131*I145,2)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672"/>
      <c r="I132" s="673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23">
        <v>0</v>
      </c>
      <c r="I133" s="29">
        <f>TRUNC(H133*I145,2)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672"/>
      <c r="I134" s="673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98">
        <v>0.05</v>
      </c>
      <c r="I135" s="29">
        <f>TRUNC(H135*I145,2)</f>
        <v>249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1034.83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2118.1817999999998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2030.6304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140.05879999999999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461.1474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230.16659999999999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4980.1850000000004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1034.83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6015.0150000000003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Portaria</v>
      </c>
      <c r="B151" s="682"/>
      <c r="C151" s="683">
        <f>(I147-I117)</f>
        <v>6015.0150000000003</v>
      </c>
      <c r="D151" s="683"/>
      <c r="E151" s="72">
        <v>1</v>
      </c>
      <c r="F151" s="683">
        <f>(I147-I117)</f>
        <v>6015.0150000000003</v>
      </c>
      <c r="G151" s="683"/>
      <c r="H151" s="72">
        <v>1</v>
      </c>
      <c r="I151" s="141">
        <f>F151*H151</f>
        <v>6015.0150000000003</v>
      </c>
    </row>
    <row r="152" spans="1:9">
      <c r="A152" s="74" t="s">
        <v>306</v>
      </c>
      <c r="B152" s="75"/>
      <c r="C152" s="683"/>
      <c r="D152" s="697"/>
      <c r="E152" s="145"/>
      <c r="F152" s="698"/>
      <c r="G152" s="698"/>
      <c r="H152" s="89"/>
      <c r="I152" s="76">
        <f>TRUNC((I151),4)</f>
        <v>6015.0150000000003</v>
      </c>
    </row>
    <row r="153" spans="1:9">
      <c r="A153" s="142" t="s">
        <v>307</v>
      </c>
      <c r="B153" s="87"/>
      <c r="C153" s="90"/>
      <c r="D153" s="87"/>
      <c r="E153" s="87"/>
      <c r="F153" s="87"/>
      <c r="G153" s="87"/>
      <c r="H153" s="91"/>
      <c r="I153" s="88">
        <f>TRUNC((I152*12),4)</f>
        <v>72180.179999999993</v>
      </c>
    </row>
    <row r="154" spans="1:9">
      <c r="A154" s="85"/>
      <c r="B154" s="85"/>
      <c r="C154" s="85"/>
      <c r="D154" s="85"/>
      <c r="E154" s="85"/>
      <c r="F154" s="85"/>
      <c r="G154" s="85"/>
      <c r="H154" s="85"/>
      <c r="I154" s="86"/>
    </row>
    <row r="155" spans="1:9" ht="14.5" thickBot="1">
      <c r="A155" s="143"/>
      <c r="B155" s="699" t="s">
        <v>305</v>
      </c>
      <c r="C155" s="699"/>
      <c r="D155" s="699"/>
      <c r="E155" s="699"/>
      <c r="F155" s="699"/>
      <c r="G155" s="699"/>
      <c r="H155" s="95"/>
      <c r="I155" s="95"/>
    </row>
    <row r="156" spans="1:9">
      <c r="A156" s="687" t="s">
        <v>131</v>
      </c>
      <c r="B156" s="688"/>
      <c r="C156" s="688"/>
      <c r="D156" s="688"/>
      <c r="E156" s="31"/>
      <c r="F156" s="689" t="s">
        <v>132</v>
      </c>
      <c r="G156" s="689"/>
      <c r="H156" s="689"/>
      <c r="I156" s="690"/>
    </row>
    <row r="157" spans="1:9">
      <c r="A157" s="691" t="s">
        <v>140</v>
      </c>
      <c r="B157" s="692"/>
      <c r="C157" s="692"/>
      <c r="D157" s="692"/>
      <c r="E157" s="32"/>
      <c r="F157" s="692" t="s">
        <v>439</v>
      </c>
      <c r="G157" s="692"/>
      <c r="H157" s="692"/>
      <c r="I157" s="693"/>
    </row>
    <row r="158" spans="1:9">
      <c r="A158" s="33" t="s">
        <v>133</v>
      </c>
      <c r="B158" s="34" t="s">
        <v>142</v>
      </c>
      <c r="C158" s="34" t="s">
        <v>134</v>
      </c>
      <c r="D158" s="34" t="s">
        <v>24</v>
      </c>
      <c r="E158" s="32"/>
      <c r="F158" s="34" t="s">
        <v>133</v>
      </c>
      <c r="G158" s="34" t="s">
        <v>142</v>
      </c>
      <c r="H158" s="34" t="s">
        <v>134</v>
      </c>
      <c r="I158" s="35" t="s">
        <v>101</v>
      </c>
    </row>
    <row r="159" spans="1:9">
      <c r="A159" s="36">
        <v>6</v>
      </c>
      <c r="B159" s="37">
        <v>1</v>
      </c>
      <c r="C159" s="34">
        <v>44</v>
      </c>
      <c r="D159" s="38">
        <f>A159*B159*C159</f>
        <v>264</v>
      </c>
      <c r="E159" s="32"/>
      <c r="F159" s="203">
        <v>26.833300000000001</v>
      </c>
      <c r="G159" s="34">
        <v>1</v>
      </c>
      <c r="H159" s="34">
        <v>30</v>
      </c>
      <c r="I159" s="39">
        <f>F159*G159*H159</f>
        <v>804.99900000000002</v>
      </c>
    </row>
    <row r="160" spans="1:9">
      <c r="A160" s="77"/>
      <c r="B160" s="78"/>
      <c r="C160" s="79"/>
      <c r="D160" s="80"/>
      <c r="E160" s="32"/>
      <c r="F160" s="81"/>
      <c r="G160" s="79"/>
      <c r="H160" s="79"/>
      <c r="I160" s="82"/>
    </row>
    <row r="161" spans="1:9" ht="18.649999999999999" customHeight="1">
      <c r="A161" s="33" t="s">
        <v>33</v>
      </c>
      <c r="B161" s="34" t="s">
        <v>3</v>
      </c>
      <c r="C161" s="34" t="s">
        <v>24</v>
      </c>
      <c r="D161" s="41"/>
      <c r="E161" s="32"/>
      <c r="F161" s="34" t="s">
        <v>24</v>
      </c>
      <c r="G161" s="34"/>
      <c r="H161" s="34" t="s">
        <v>24</v>
      </c>
      <c r="I161" s="43"/>
    </row>
    <row r="162" spans="1:9">
      <c r="A162" s="174">
        <f>I31</f>
        <v>2038.1818181818182</v>
      </c>
      <c r="B162" s="34">
        <v>6</v>
      </c>
      <c r="C162" s="38">
        <f>A162*B162/100</f>
        <v>122.2909090909091</v>
      </c>
      <c r="D162" s="41"/>
      <c r="E162" s="32"/>
      <c r="F162" s="38">
        <f>I159</f>
        <v>804.99900000000002</v>
      </c>
      <c r="G162" s="45">
        <v>0.2</v>
      </c>
      <c r="H162" s="38">
        <f>F162*G162</f>
        <v>160.99980000000002</v>
      </c>
      <c r="I162" s="43"/>
    </row>
    <row r="163" spans="1:9">
      <c r="A163" s="46"/>
      <c r="B163" s="40"/>
      <c r="C163" s="40"/>
      <c r="D163" s="41"/>
      <c r="E163" s="32"/>
      <c r="F163" s="42"/>
      <c r="G163" s="40"/>
      <c r="H163" s="40"/>
      <c r="I163" s="43"/>
    </row>
    <row r="164" spans="1:9" ht="14.5" thickBot="1">
      <c r="A164" s="47" t="s">
        <v>135</v>
      </c>
      <c r="B164" s="48"/>
      <c r="C164" s="49"/>
      <c r="D164" s="41"/>
      <c r="E164" s="32"/>
      <c r="F164" s="48" t="s">
        <v>136</v>
      </c>
      <c r="G164" s="48"/>
      <c r="H164" s="49"/>
      <c r="I164" s="43"/>
    </row>
    <row r="165" spans="1:9" ht="26.25" customHeight="1" thickBot="1">
      <c r="A165" s="44">
        <f>D159</f>
        <v>264</v>
      </c>
      <c r="B165" s="50">
        <f>C162</f>
        <v>122.2909090909091</v>
      </c>
      <c r="C165" s="51">
        <f>A165-B165</f>
        <v>141.70909090909089</v>
      </c>
      <c r="D165" s="52"/>
      <c r="E165" s="32"/>
      <c r="F165" s="38">
        <f>I159</f>
        <v>804.99900000000002</v>
      </c>
      <c r="G165" s="53">
        <f>H162</f>
        <v>160.99980000000002</v>
      </c>
      <c r="H165" s="51">
        <f>F165-G165</f>
        <v>643.99919999999997</v>
      </c>
      <c r="I165" s="54"/>
    </row>
    <row r="166" spans="1:9" ht="26.25" customHeight="1">
      <c r="A166" s="32"/>
      <c r="B166" s="32"/>
      <c r="C166" s="32"/>
      <c r="D166" s="32"/>
      <c r="E166" s="32"/>
      <c r="F166" s="32"/>
      <c r="G166" s="32"/>
      <c r="H166" s="32"/>
      <c r="I166" s="32"/>
    </row>
    <row r="167" spans="1: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>
      <c r="A168" s="83"/>
      <c r="B168" s="84"/>
      <c r="C168" s="84"/>
      <c r="D168" s="84"/>
      <c r="E168" s="84"/>
      <c r="F168" s="84"/>
      <c r="G168" s="84"/>
      <c r="H168" s="84"/>
      <c r="I168" s="84"/>
    </row>
  </sheetData>
  <mergeCells count="148">
    <mergeCell ref="A156:D156"/>
    <mergeCell ref="F156:I156"/>
    <mergeCell ref="A157:D157"/>
    <mergeCell ref="F157:I157"/>
    <mergeCell ref="C152:D152"/>
    <mergeCell ref="F152:G152"/>
    <mergeCell ref="B155:G155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4:I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I132"/>
    <mergeCell ref="B133:G133"/>
    <mergeCell ref="A122:I122"/>
    <mergeCell ref="B123:G123"/>
    <mergeCell ref="B124:G124"/>
    <mergeCell ref="B125:G125"/>
    <mergeCell ref="B126:G126"/>
    <mergeCell ref="B127:I127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27:H27"/>
    <mergeCell ref="A29:I29"/>
    <mergeCell ref="B30:G30"/>
    <mergeCell ref="B31:G31"/>
    <mergeCell ref="B32:G32"/>
    <mergeCell ref="B33:G33"/>
    <mergeCell ref="B48:G48"/>
    <mergeCell ref="B49:G49"/>
    <mergeCell ref="B50:G50"/>
    <mergeCell ref="B34:G34"/>
    <mergeCell ref="B35:G35"/>
    <mergeCell ref="B36:G36"/>
    <mergeCell ref="B37:G37"/>
    <mergeCell ref="A38:H38"/>
    <mergeCell ref="A40:I40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7" firstPageNumber="0" orientation="portrait" verticalDpi="300" r:id="rId1"/>
  <headerFooter alignWithMargins="0"/>
  <rowBreaks count="1" manualBreakCount="1">
    <brk id="91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I175"/>
  <sheetViews>
    <sheetView view="pageBreakPreview" zoomScaleNormal="96" zoomScaleSheetLayoutView="100" workbookViewId="0">
      <selection activeCell="O24" sqref="O24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9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354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9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 ht="15" customHeight="1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26" t="s">
        <v>40</v>
      </c>
      <c r="B22" s="27"/>
      <c r="C22" s="27"/>
      <c r="D22" s="27"/>
      <c r="E22" s="27"/>
      <c r="F22" s="27"/>
      <c r="G22" s="27"/>
      <c r="H22" s="27"/>
      <c r="I22" s="28"/>
    </row>
    <row r="23" spans="1:9">
      <c r="A23" s="30">
        <v>1</v>
      </c>
      <c r="B23" s="671" t="s">
        <v>10</v>
      </c>
      <c r="C23" s="672"/>
      <c r="D23" s="672"/>
      <c r="E23" s="672"/>
      <c r="F23" s="672"/>
      <c r="G23" s="672"/>
      <c r="H23" s="673"/>
      <c r="I23" s="30" t="s">
        <v>354</v>
      </c>
    </row>
    <row r="24" spans="1:9">
      <c r="A24" s="30">
        <v>2</v>
      </c>
      <c r="B24" s="635" t="s">
        <v>41</v>
      </c>
      <c r="C24" s="636"/>
      <c r="D24" s="636"/>
      <c r="E24" s="636"/>
      <c r="F24" s="636"/>
      <c r="G24" s="636"/>
      <c r="H24" s="637"/>
      <c r="I24" s="30" t="s">
        <v>357</v>
      </c>
    </row>
    <row r="25" spans="1:9">
      <c r="A25" s="30">
        <v>3</v>
      </c>
      <c r="B25" s="671" t="s">
        <v>9</v>
      </c>
      <c r="C25" s="672"/>
      <c r="D25" s="672"/>
      <c r="E25" s="672"/>
      <c r="F25" s="672"/>
      <c r="G25" s="672"/>
      <c r="H25" s="673"/>
      <c r="I25" s="158">
        <v>2242</v>
      </c>
    </row>
    <row r="26" spans="1:9">
      <c r="A26" s="30">
        <v>4</v>
      </c>
      <c r="B26" s="671" t="s">
        <v>8</v>
      </c>
      <c r="C26" s="672"/>
      <c r="D26" s="672"/>
      <c r="E26" s="672"/>
      <c r="F26" s="672"/>
      <c r="G26" s="672"/>
      <c r="H26" s="673"/>
      <c r="I26" s="30" t="s">
        <v>354</v>
      </c>
    </row>
    <row r="27" spans="1:9">
      <c r="A27" s="30">
        <v>5</v>
      </c>
      <c r="B27" s="671" t="s">
        <v>7</v>
      </c>
      <c r="C27" s="672"/>
      <c r="D27" s="672"/>
      <c r="E27" s="672"/>
      <c r="F27" s="672"/>
      <c r="G27" s="672"/>
      <c r="H27" s="673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331" t="s">
        <v>30</v>
      </c>
      <c r="B29" s="331"/>
      <c r="C29" s="331"/>
      <c r="D29" s="331"/>
      <c r="E29" s="331"/>
      <c r="F29" s="331"/>
      <c r="G29" s="331"/>
      <c r="H29" s="331"/>
      <c r="I29" s="331"/>
    </row>
    <row r="30" spans="1:9">
      <c r="A30" s="146">
        <v>1</v>
      </c>
      <c r="B30" s="26" t="s">
        <v>19</v>
      </c>
      <c r="C30" s="27"/>
      <c r="D30" s="27"/>
      <c r="E30" s="146" t="s">
        <v>527</v>
      </c>
      <c r="F30" s="234" t="s">
        <v>528</v>
      </c>
      <c r="G30" s="146" t="s">
        <v>3</v>
      </c>
      <c r="H30" s="146" t="s">
        <v>1</v>
      </c>
      <c r="I30" s="146" t="s">
        <v>1</v>
      </c>
    </row>
    <row r="31" spans="1:9">
      <c r="A31" s="9" t="s">
        <v>11</v>
      </c>
      <c r="B31" s="165" t="s">
        <v>33</v>
      </c>
      <c r="C31" s="166"/>
      <c r="D31" s="166"/>
      <c r="E31" s="154"/>
      <c r="F31" s="154"/>
      <c r="G31" s="147"/>
      <c r="H31" s="147"/>
      <c r="I31" s="29">
        <f>(I25/220)*200</f>
        <v>2038.1818181818182</v>
      </c>
    </row>
    <row r="32" spans="1:9">
      <c r="A32" s="9" t="s">
        <v>12</v>
      </c>
      <c r="B32" s="165" t="s">
        <v>313</v>
      </c>
      <c r="C32" s="166"/>
      <c r="D32" s="166"/>
      <c r="E32" s="154"/>
      <c r="F32" s="154"/>
      <c r="G32" s="8">
        <v>0</v>
      </c>
      <c r="H32" s="8"/>
      <c r="I32" s="29">
        <v>0</v>
      </c>
    </row>
    <row r="33" spans="1:9">
      <c r="A33" s="9" t="s">
        <v>13</v>
      </c>
      <c r="B33" s="1" t="s">
        <v>42</v>
      </c>
      <c r="C33" s="20"/>
      <c r="D33" s="20"/>
      <c r="E33" s="147"/>
      <c r="F33" s="147"/>
      <c r="G33" s="8">
        <v>0</v>
      </c>
      <c r="H33" s="8"/>
      <c r="I33" s="29">
        <f>H33*I31</f>
        <v>0</v>
      </c>
    </row>
    <row r="34" spans="1:9">
      <c r="A34" s="9" t="s">
        <v>14</v>
      </c>
      <c r="B34" s="1" t="s">
        <v>520</v>
      </c>
      <c r="C34" s="20"/>
      <c r="D34" s="20"/>
      <c r="E34" s="30">
        <v>5</v>
      </c>
      <c r="F34" s="29">
        <f>I169</f>
        <v>91.71</v>
      </c>
      <c r="G34" s="8">
        <v>0</v>
      </c>
      <c r="H34" s="8"/>
      <c r="I34" s="29">
        <v>0</v>
      </c>
    </row>
    <row r="35" spans="1:9">
      <c r="A35" s="9" t="s">
        <v>15</v>
      </c>
      <c r="B35" s="1" t="s">
        <v>517</v>
      </c>
      <c r="C35" s="20"/>
      <c r="D35" s="20"/>
      <c r="E35" s="30">
        <v>0</v>
      </c>
      <c r="F35" s="29">
        <f>H170</f>
        <v>0</v>
      </c>
      <c r="G35" s="8">
        <v>0</v>
      </c>
      <c r="H35" s="8"/>
      <c r="I35" s="29">
        <v>0</v>
      </c>
    </row>
    <row r="36" spans="1:9">
      <c r="A36" s="9" t="s">
        <v>16</v>
      </c>
      <c r="B36" s="1" t="s">
        <v>519</v>
      </c>
      <c r="C36" s="20"/>
      <c r="D36" s="20"/>
      <c r="E36" s="30">
        <v>1</v>
      </c>
      <c r="F36" s="29">
        <f>I174</f>
        <v>101.9</v>
      </c>
      <c r="G36" s="8">
        <v>0</v>
      </c>
      <c r="H36" s="8"/>
      <c r="I36" s="29">
        <v>0</v>
      </c>
    </row>
    <row r="37" spans="1:9">
      <c r="A37" s="9" t="s">
        <v>17</v>
      </c>
      <c r="B37" s="165" t="s">
        <v>359</v>
      </c>
      <c r="C37" s="166"/>
      <c r="D37" s="166"/>
      <c r="E37" s="147"/>
      <c r="F37" s="147"/>
      <c r="G37" s="8">
        <v>0</v>
      </c>
      <c r="H37" s="310">
        <v>80</v>
      </c>
      <c r="I37" s="29">
        <v>80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2118.1817999999998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176.44454393999999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58.885454039999992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235.32990000000001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470.70234000000005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58.837792500000006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70.605350999999999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35.302675499999999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23.535117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14.1210702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4.7070233999999997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188.280936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866.09230000000002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5.95</v>
      </c>
      <c r="I61" s="70">
        <f>C166</f>
        <v>139.5090909090909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927.00819999999999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235.32990000000001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866.09230000000002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927.00819999999999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2028.4304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8.8257574999999999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0.70606059999999993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72.865453920000007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41.186868333333329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15.156767546666668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1.3179797866666669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140.05879999999999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357.22258333333326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95.259355555555544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1.5249003326106665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0.7858896833333332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6.1181941886334714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460.91090000000003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/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76"/>
      <c r="I105" s="29"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/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460.91090000000003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460.91090000000003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Uniformes!H25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/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230.16659999999999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17">
        <v>0.05</v>
      </c>
      <c r="I124" s="96">
        <f>TRUNC(H124*I145,2)</f>
        <v>248.88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17">
        <v>6.7900000000000002E-2</v>
      </c>
      <c r="I125" s="96">
        <f>TRUNC(H125*(I124+I145),2)</f>
        <v>354.88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672"/>
      <c r="I127" s="673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23">
        <v>6.4999999999999997E-3</v>
      </c>
      <c r="I128" s="29">
        <f>TRUNC(H128*I145,2)</f>
        <v>32.35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23">
        <v>0.03</v>
      </c>
      <c r="I129" s="29">
        <f>TRUNC(H129*I145,2)</f>
        <v>149.33000000000001</v>
      </c>
    </row>
    <row r="130" spans="1:9">
      <c r="A130" s="9"/>
      <c r="B130" s="645"/>
      <c r="C130" s="645"/>
      <c r="D130" s="645"/>
      <c r="E130" s="645"/>
      <c r="F130" s="645"/>
      <c r="G130" s="645"/>
      <c r="H130" s="23"/>
      <c r="I130" s="29">
        <f>TRUNC(H130*I145,2)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23"/>
      <c r="I131" s="29">
        <f>TRUNC(H131*I145,2)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672"/>
      <c r="I132" s="673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23">
        <v>0</v>
      </c>
      <c r="I133" s="29">
        <f>TRUNC(H133*I145,2)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672"/>
      <c r="I134" s="673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98">
        <v>0.05</v>
      </c>
      <c r="I135" s="29">
        <f>TRUNC(H135*I145,2)</f>
        <v>248.88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1034.32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2118.1817999999998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2028.4304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140.05879999999999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460.91090000000003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230.16659999999999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4977.7484999999997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1034.32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6012.0685000000003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60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Portaria</v>
      </c>
      <c r="B151" s="682"/>
      <c r="C151" s="683">
        <f>(I147-I117)</f>
        <v>6012.0685000000003</v>
      </c>
      <c r="D151" s="683"/>
      <c r="E151" s="72">
        <v>1</v>
      </c>
      <c r="F151" s="683">
        <f>(I147-I117)</f>
        <v>6012.0685000000003</v>
      </c>
      <c r="G151" s="683"/>
      <c r="H151" s="72">
        <v>1</v>
      </c>
      <c r="I151" s="141">
        <f>F151*H151</f>
        <v>6012.0685000000003</v>
      </c>
    </row>
    <row r="152" spans="1: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TRUNC((I151+I152),4)</f>
        <v>6012.0685000000003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72144.822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36">
        <v>5.95</v>
      </c>
      <c r="B160" s="37">
        <v>1</v>
      </c>
      <c r="C160" s="34">
        <v>44</v>
      </c>
      <c r="D160" s="38">
        <f>A160*B160*C160</f>
        <v>261.8</v>
      </c>
      <c r="E160" s="32"/>
      <c r="F160" s="203">
        <v>26.833300000000001</v>
      </c>
      <c r="G160" s="34">
        <v>1</v>
      </c>
      <c r="H160" s="34">
        <v>30</v>
      </c>
      <c r="I160" s="39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2038.1818181818182</v>
      </c>
      <c r="B163" s="34">
        <v>6</v>
      </c>
      <c r="C163" s="38">
        <f>A163*B163/100</f>
        <v>122.2909090909091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261.8</v>
      </c>
      <c r="B166" s="50">
        <f>C163</f>
        <v>122.2909090909091</v>
      </c>
      <c r="C166" s="51">
        <f>A166-B166</f>
        <v>139.5090909090909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 ht="26.25" customHeight="1" thickBot="1">
      <c r="A167" s="329"/>
      <c r="B167" s="236"/>
      <c r="C167" s="330"/>
      <c r="D167" s="40"/>
      <c r="E167" s="32"/>
      <c r="F167" s="236"/>
      <c r="G167" s="237"/>
      <c r="H167" s="330"/>
      <c r="I167" s="43"/>
    </row>
    <row r="168" spans="1:9" ht="26.25" customHeight="1">
      <c r="A168" s="710" t="s">
        <v>521</v>
      </c>
      <c r="B168" s="711"/>
      <c r="C168" s="711"/>
      <c r="D168" s="238" t="s">
        <v>515</v>
      </c>
      <c r="E168" s="238" t="s">
        <v>516</v>
      </c>
      <c r="F168" s="718" t="s">
        <v>525</v>
      </c>
      <c r="G168" s="719"/>
      <c r="H168" s="239" t="s">
        <v>524</v>
      </c>
      <c r="I168" s="247" t="s">
        <v>526</v>
      </c>
    </row>
    <row r="169" spans="1:9" ht="26.25" customHeight="1">
      <c r="A169" s="727" t="s">
        <v>520</v>
      </c>
      <c r="B169" s="728"/>
      <c r="C169" s="728"/>
      <c r="D169" s="240">
        <v>0.5</v>
      </c>
      <c r="E169" s="250">
        <v>5</v>
      </c>
      <c r="F169" s="241">
        <f>((I31/200)*50%)+(I31/200)</f>
        <v>15.286363636363637</v>
      </c>
      <c r="G169" s="241">
        <f>F169*E169</f>
        <v>76.431818181818187</v>
      </c>
      <c r="H169" s="242">
        <f>(G169/25)*5</f>
        <v>15.286363636363639</v>
      </c>
      <c r="I169" s="248">
        <f>TRUNC((G169+H169),2)</f>
        <v>91.71</v>
      </c>
    </row>
    <row r="170" spans="1:9">
      <c r="A170" s="729" t="s">
        <v>517</v>
      </c>
      <c r="B170" s="730"/>
      <c r="C170" s="730"/>
      <c r="D170" s="712" t="s">
        <v>518</v>
      </c>
      <c r="E170" s="724">
        <v>0</v>
      </c>
      <c r="F170" s="241">
        <f>(I31/200)</f>
        <v>10.190909090909091</v>
      </c>
      <c r="G170" s="715">
        <f>F173*E170</f>
        <v>0</v>
      </c>
      <c r="H170" s="721">
        <f>((G170/25)*5)</f>
        <v>0</v>
      </c>
      <c r="I170" s="720">
        <f t="shared" ref="I170" si="0">TRUNC((G170+H170),2)</f>
        <v>0</v>
      </c>
    </row>
    <row r="171" spans="1:9">
      <c r="A171" s="731"/>
      <c r="B171" s="732"/>
      <c r="C171" s="732"/>
      <c r="D171" s="713"/>
      <c r="E171" s="725"/>
      <c r="F171" s="243">
        <f>F170*50%</f>
        <v>5.0954545454545457</v>
      </c>
      <c r="G171" s="716"/>
      <c r="H171" s="722"/>
      <c r="I171" s="720"/>
    </row>
    <row r="172" spans="1:9">
      <c r="A172" s="731"/>
      <c r="B172" s="732"/>
      <c r="C172" s="732"/>
      <c r="D172" s="713"/>
      <c r="E172" s="725"/>
      <c r="F172" s="243">
        <f>(F170+F171)*20%</f>
        <v>3.0572727272727276</v>
      </c>
      <c r="G172" s="716"/>
      <c r="H172" s="722"/>
      <c r="I172" s="720"/>
    </row>
    <row r="173" spans="1:9">
      <c r="A173" s="733"/>
      <c r="B173" s="734"/>
      <c r="C173" s="734"/>
      <c r="D173" s="714"/>
      <c r="E173" s="726"/>
      <c r="F173" s="243">
        <f>SUM(F170:F172)</f>
        <v>18.343636363636364</v>
      </c>
      <c r="G173" s="717"/>
      <c r="H173" s="723"/>
      <c r="I173" s="720"/>
    </row>
    <row r="174" spans="1:9" ht="27.75" customHeight="1" thickBot="1">
      <c r="A174" s="707" t="s">
        <v>579</v>
      </c>
      <c r="B174" s="708"/>
      <c r="C174" s="709"/>
      <c r="D174" s="244" t="s">
        <v>522</v>
      </c>
      <c r="E174" s="244">
        <v>5</v>
      </c>
      <c r="F174" s="245">
        <f>I31/200 *2</f>
        <v>20.381818181818183</v>
      </c>
      <c r="G174" s="245">
        <f>F174*E174</f>
        <v>101.90909090909091</v>
      </c>
      <c r="H174" s="246" t="s">
        <v>523</v>
      </c>
      <c r="I174" s="249">
        <f>TRUNC((G174),2)</f>
        <v>101.9</v>
      </c>
    </row>
    <row r="175" spans="1:9" ht="14.5">
      <c r="A175" s="235" t="s">
        <v>529</v>
      </c>
      <c r="B175" s="235"/>
      <c r="C175" s="235"/>
      <c r="D175" s="235"/>
      <c r="E175" s="235"/>
      <c r="F175" s="235"/>
      <c r="G175" s="235"/>
      <c r="H175" s="235"/>
      <c r="I175" s="235"/>
    </row>
  </sheetData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20:B20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41:G41"/>
    <mergeCell ref="B42:G42"/>
    <mergeCell ref="B43:G43"/>
    <mergeCell ref="B44:G44"/>
    <mergeCell ref="A45:G45"/>
    <mergeCell ref="A47:I47"/>
    <mergeCell ref="A38:H38"/>
    <mergeCell ref="A40:I40"/>
    <mergeCell ref="B27:H2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27:I127"/>
    <mergeCell ref="B115:G115"/>
    <mergeCell ref="B116:G116"/>
    <mergeCell ref="B117:G117"/>
    <mergeCell ref="B118:G118"/>
    <mergeCell ref="B119:G119"/>
    <mergeCell ref="A120:G120"/>
    <mergeCell ref="B134:I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I132"/>
    <mergeCell ref="B133:G133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I170:I173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74:C174"/>
    <mergeCell ref="A168:C168"/>
    <mergeCell ref="F168:G168"/>
    <mergeCell ref="A169:C169"/>
    <mergeCell ref="A170:C173"/>
    <mergeCell ref="D170:D173"/>
    <mergeCell ref="E170:E173"/>
    <mergeCell ref="G170:G173"/>
    <mergeCell ref="H170:H173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6" firstPageNumber="0" orientation="portrait" verticalDpi="300" r:id="rId1"/>
  <headerFooter alignWithMargins="0"/>
  <rowBreaks count="1" manualBreakCount="1">
    <brk id="9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7">
    <tabColor rgb="FF92D050"/>
  </sheetPr>
  <dimension ref="A1:J169"/>
  <sheetViews>
    <sheetView view="pageBreakPreview" zoomScaleNormal="96" zoomScaleSheetLayoutView="100" workbookViewId="0">
      <selection activeCell="L20" sqref="L20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0" width="17" style="2" customWidth="1"/>
    <col min="11" max="11" width="7.1796875" style="2" customWidth="1"/>
    <col min="12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542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10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10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10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10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10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1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1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542</v>
      </c>
    </row>
    <row r="24" spans="1:10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495</v>
      </c>
    </row>
    <row r="25" spans="1:1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1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542</v>
      </c>
      <c r="J26" s="159"/>
    </row>
    <row r="27" spans="1:1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10">
      <c r="A28" s="143"/>
      <c r="B28" s="3"/>
      <c r="C28" s="3"/>
      <c r="D28" s="3"/>
      <c r="E28" s="3"/>
      <c r="F28" s="3"/>
      <c r="G28" s="3"/>
      <c r="H28" s="3"/>
      <c r="I28" s="6"/>
    </row>
    <row r="29" spans="1:10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1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</row>
    <row r="31" spans="1:10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(I25/220)*200</f>
        <v>1603.6363636363635</v>
      </c>
    </row>
    <row r="32" spans="1:10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</row>
    <row r="37" spans="1:9">
      <c r="A37" s="9" t="s">
        <v>17</v>
      </c>
      <c r="B37" s="645" t="s">
        <v>429</v>
      </c>
      <c r="C37" s="645"/>
      <c r="D37" s="645"/>
      <c r="E37" s="645"/>
      <c r="F37" s="645"/>
      <c r="G37" s="645"/>
      <c r="H37" s="8">
        <v>0</v>
      </c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1603.6362999999999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133.58290378999999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44.581089139999996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178.16390000000001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356.36004000000003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44.545005000000003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53.454005999999993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26.727002999999996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17.818002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10.690801199999999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3.5636003999999999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142.544016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655.70240000000001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167.78181818181821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 t="shared" ref="I66:I67" si="0"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 t="shared" si="0"/>
        <v>28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71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70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955.28099999999995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178.16390000000001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655.70240000000001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955.28099999999995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1789.1473000000001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6.6818179166666658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0.53454543333333326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55.165088720000007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31.181816944444442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11.474908635555556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0.99781814222222243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106.0359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291.5682916666666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77.751544444444434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1.244637393281333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0.64145024166666664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4.993725231532224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376.19959999999998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376.19959999999998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376.19959999999998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Uniformes!H59</f>
        <v>157.5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'Aux. Manut. Pred. - EPIs '!F11</f>
        <v>43.533333333333339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30" t="s">
        <v>0</v>
      </c>
      <c r="I119" s="29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201.0333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203.8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290.60000000000002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32.52100777230433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150.09695894909689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250.16159824849484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927.17949999999996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1603.6362999999999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1789.1473000000001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106.0359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376.19959999999998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201.0333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4076.0524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927.17949999999996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5003.2318999999998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Auxiliar Manut.</v>
      </c>
      <c r="B151" s="682"/>
      <c r="C151" s="683">
        <f>(I147-I117)</f>
        <v>5003.2318999999998</v>
      </c>
      <c r="D151" s="683"/>
      <c r="E151" s="72">
        <v>1</v>
      </c>
      <c r="F151" s="683">
        <f>(I147-I117)</f>
        <v>5003.2318999999998</v>
      </c>
      <c r="G151" s="683"/>
      <c r="H151" s="72">
        <v>1</v>
      </c>
      <c r="I151" s="141">
        <f>F151*H151</f>
        <v>5003.2318999999998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5003.2318999999998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60038.782800000001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6</v>
      </c>
      <c r="B160" s="37">
        <v>1</v>
      </c>
      <c r="C160" s="34">
        <v>44</v>
      </c>
      <c r="D160" s="38">
        <f>A160*B160*C160</f>
        <v>264</v>
      </c>
      <c r="E160" s="32"/>
      <c r="F160" s="204">
        <v>26.833300000000001</v>
      </c>
      <c r="G160" s="34">
        <v>1</v>
      </c>
      <c r="H160" s="34">
        <v>30</v>
      </c>
      <c r="I160" s="39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1603.6363636363635</v>
      </c>
      <c r="B163" s="34">
        <v>6</v>
      </c>
      <c r="C163" s="38">
        <f>A163*B163/100</f>
        <v>96.218181818181804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96.218181818181804</v>
      </c>
      <c r="C166" s="51">
        <f>A166-B166</f>
        <v>167.78181818181821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>
      <c r="A169" s="83"/>
      <c r="B169" s="84"/>
      <c r="C169" s="84"/>
      <c r="D169" s="84"/>
      <c r="E169" s="84"/>
      <c r="F169" s="84"/>
      <c r="G169" s="84"/>
      <c r="H169" s="84"/>
      <c r="I169" s="84"/>
    </row>
  </sheetData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7" firstPageNumber="0" orientation="portrait" verticalDpi="300" r:id="rId1"/>
  <headerFooter alignWithMargins="0"/>
  <rowBreaks count="1" manualBreakCount="1">
    <brk id="91" max="9" man="1"/>
  </rowBreaks>
  <ignoredErrors>
    <ignoredError sqref="I50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I169"/>
  <sheetViews>
    <sheetView view="pageBreakPreview" zoomScaleNormal="100" zoomScaleSheetLayoutView="100" workbookViewId="0">
      <selection activeCell="M33" sqref="M33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24.179687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0" width="7.1796875" style="2" customWidth="1"/>
    <col min="1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700" t="s">
        <v>6</v>
      </c>
      <c r="B6" s="700"/>
      <c r="C6" s="700"/>
      <c r="D6" s="700"/>
      <c r="E6" s="700"/>
      <c r="F6" s="700"/>
      <c r="G6" s="700"/>
      <c r="H6" s="700"/>
      <c r="I6" s="700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352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508</v>
      </c>
      <c r="B16" s="701"/>
      <c r="C16" s="701" t="s">
        <v>353</v>
      </c>
      <c r="D16" s="701"/>
      <c r="E16" s="638">
        <v>1</v>
      </c>
      <c r="F16" s="638"/>
      <c r="G16" s="638"/>
      <c r="H16" s="638"/>
      <c r="I16" s="638"/>
    </row>
    <row r="17" spans="1:9">
      <c r="A17" s="701"/>
      <c r="B17" s="701"/>
      <c r="C17" s="638"/>
      <c r="D17" s="638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494</v>
      </c>
    </row>
    <row r="24" spans="1:9">
      <c r="A24" s="30">
        <v>2</v>
      </c>
      <c r="B24" s="648" t="s">
        <v>41</v>
      </c>
      <c r="C24" s="648"/>
      <c r="D24" s="648"/>
      <c r="E24" s="648"/>
      <c r="F24" s="648"/>
      <c r="G24" s="648"/>
      <c r="H24" s="648"/>
      <c r="I24" s="30" t="s">
        <v>509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2807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494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</row>
    <row r="31" spans="1:9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(I25/220)*200</f>
        <v>2551.818181818182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309">
        <v>280</v>
      </c>
      <c r="I32" s="29">
        <f>(H32/220)*220</f>
        <v>280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</row>
    <row r="37" spans="1:9">
      <c r="A37" s="9" t="s">
        <v>17</v>
      </c>
      <c r="B37" s="645" t="s">
        <v>429</v>
      </c>
      <c r="C37" s="645"/>
      <c r="D37" s="645"/>
      <c r="E37" s="645"/>
      <c r="F37" s="645"/>
      <c r="G37" s="645"/>
      <c r="H37" s="8">
        <v>0</v>
      </c>
      <c r="I37" s="29">
        <f>ROUND(I31*H37,2)</f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2831.8181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235.89044773000001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78.724543179999998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314.61489999999998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629.28660000000002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78.660825000000003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94.392989999999998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47.196494999999999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31.46433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18.878598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6.2928660000000001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251.71464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1157.8873000000001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110.89090909090908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 t="shared" ref="I66:I67" si="0"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 t="shared" si="0"/>
        <v>28</v>
      </c>
    </row>
    <row r="68" spans="1:9">
      <c r="A68" s="9" t="s">
        <v>18</v>
      </c>
      <c r="B68" s="661" t="s">
        <v>147</v>
      </c>
      <c r="C68" s="661"/>
      <c r="D68" s="661"/>
      <c r="E68" s="661"/>
      <c r="F68" s="661"/>
      <c r="G68" s="661"/>
      <c r="H68" s="71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70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898.39009999999996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314.61489999999998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1157.8873000000001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898.39009999999996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2370.8923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11.799242083333333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0.94393936666666667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97.414542640000022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55.063129722222222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20.26323173777778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1.7620201511111115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187.24610000000001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449.16304166666669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(4/30/12)</f>
        <v>1.1111111111111112E-2</v>
      </c>
      <c r="I96" s="29">
        <f>(I38+I80+I90)*H96</f>
        <v>59.888405555555558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1.9173728190493333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0.9881586916666667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7.6928694866686094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9.64E-2</v>
      </c>
      <c r="I101" s="10">
        <f>TRUNC(SUM(I95:I100),4)</f>
        <v>519.64980000000003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519.64980000000003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519.64980000000003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Uniformes!H37</f>
        <v>230.16666666666666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v>0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30" t="s">
        <v>0</v>
      </c>
      <c r="I119" s="29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230.16659999999999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306.98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437.73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48.986468363437318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226.09139244663379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376.81898741105636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1396.6068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2831.8181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2370.8923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187.24610000000001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519.64980000000003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230.16659999999999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6139.7728999999999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1396.6068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7536.3797000000004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Supervisor</v>
      </c>
      <c r="B151" s="682"/>
      <c r="C151" s="683">
        <f>(I147)</f>
        <v>7536.3797000000004</v>
      </c>
      <c r="D151" s="683"/>
      <c r="E151" s="72">
        <v>1</v>
      </c>
      <c r="F151" s="683">
        <f>(I147)</f>
        <v>7536.3797000000004</v>
      </c>
      <c r="G151" s="683"/>
      <c r="H151" s="72">
        <v>1</v>
      </c>
      <c r="I151" s="141">
        <f>F151*H151</f>
        <v>7536.3797000000004</v>
      </c>
    </row>
    <row r="152" spans="1: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73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7536.3797000000004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90436.556400000001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510</v>
      </c>
      <c r="B158" s="692"/>
      <c r="C158" s="692"/>
      <c r="D158" s="692"/>
      <c r="E158" s="32"/>
      <c r="F158" s="691" t="s">
        <v>510</v>
      </c>
      <c r="G158" s="692"/>
      <c r="H158" s="692"/>
      <c r="I158" s="692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6</v>
      </c>
      <c r="B160" s="37">
        <v>1</v>
      </c>
      <c r="C160" s="34">
        <v>44</v>
      </c>
      <c r="D160" s="38">
        <f>A160*B160*C160</f>
        <v>264</v>
      </c>
      <c r="E160" s="32"/>
      <c r="F160" s="204">
        <v>26.833300000000001</v>
      </c>
      <c r="G160" s="34">
        <v>1</v>
      </c>
      <c r="H160" s="34">
        <v>30</v>
      </c>
      <c r="I160" s="39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174">
        <f>I31</f>
        <v>2551.818181818182</v>
      </c>
      <c r="B163" s="34">
        <v>6</v>
      </c>
      <c r="C163" s="38">
        <f>A163*B163/100</f>
        <v>153.10909090909092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153.10909090909092</v>
      </c>
      <c r="C166" s="51">
        <f>A166-B166</f>
        <v>110.89090909090908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>
      <c r="A169" s="83"/>
      <c r="B169" s="84"/>
      <c r="C169" s="84"/>
      <c r="D169" s="84"/>
      <c r="E169" s="84"/>
      <c r="F169" s="84"/>
      <c r="G169" s="84"/>
      <c r="H169" s="84"/>
      <c r="I169" s="84"/>
    </row>
  </sheetData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ageMargins left="0.78740157480314965" right="0.39370078740157483" top="0.59055118110236227" bottom="0.59055118110236227" header="0.15748031496062992" footer="0.15748031496062992"/>
  <pageSetup paperSize="9" scale="55" orientation="portrait" r:id="rId1"/>
  <rowBreaks count="1" manualBreakCount="1">
    <brk id="9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0"/>
  <dimension ref="A1"/>
  <sheetViews>
    <sheetView showGridLines="0" zoomScaleNormal="100" workbookViewId="0">
      <selection sqref="A1:I165"/>
    </sheetView>
  </sheetViews>
  <sheetFormatPr defaultRowHeight="12.5"/>
  <cols>
    <col min="1" max="4" width="9.1796875" customWidth="1"/>
    <col min="5" max="5" width="9.26953125" bestFit="1" customWidth="1"/>
    <col min="7" max="7" width="9.1796875" customWidth="1"/>
    <col min="8" max="8" width="9.26953125" customWidth="1"/>
    <col min="9" max="9" width="12" customWidth="1"/>
  </cols>
  <sheetData/>
  <customSheetViews>
    <customSheetView guid="{7D072CBA-4F2D-4FAE-88D9-B6A678BA20E4}" showPageBreaks="1" showGridLines="0" state="hidden">
      <selection sqref="A1:I165"/>
      <pageMargins left="0.511811024" right="0.511811024" top="0.78740157499999996" bottom="0.78740157499999996" header="0.31496062000000002" footer="0.31496062000000002"/>
      <pageSetup paperSize="9" orientation="portrait" horizontalDpi="0" verticalDpi="0" r:id="rId1"/>
    </customSheetView>
  </customSheetViews>
  <pageMargins left="0.511811024" right="0.511811024" top="0.78740157499999996" bottom="0.78740157499999996" header="0.31496062000000002" footer="0.31496062000000002"/>
  <pageSetup paperSize="9" orientation="portrait" horizontalDpi="0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AG402"/>
  <sheetViews>
    <sheetView view="pageBreakPreview" topLeftCell="A193" zoomScale="96" zoomScaleNormal="96" zoomScaleSheetLayoutView="96" workbookViewId="0">
      <selection activeCell="H217" sqref="H217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7.54296875" style="2" customWidth="1"/>
    <col min="10" max="33" width="9.1796875" style="84"/>
    <col min="34" max="16384" width="9.1796875" style="2"/>
  </cols>
  <sheetData>
    <row r="1" spans="1:33">
      <c r="A1" s="632" t="s">
        <v>301</v>
      </c>
      <c r="B1" s="632"/>
      <c r="C1" s="632"/>
      <c r="D1" s="632"/>
      <c r="E1" s="632"/>
      <c r="F1" s="632"/>
      <c r="G1" s="632"/>
      <c r="H1" s="632"/>
      <c r="I1" s="63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84"/>
      <c r="B2" s="84"/>
      <c r="C2" s="84"/>
      <c r="D2" s="84"/>
      <c r="E2" s="84"/>
      <c r="F2" s="84"/>
      <c r="G2" s="84"/>
      <c r="H2" s="84"/>
      <c r="I2" s="8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s="169" t="s">
        <v>418</v>
      </c>
      <c r="B3" s="170"/>
      <c r="C3" s="156"/>
      <c r="D3" s="156"/>
      <c r="E3" s="84"/>
      <c r="F3" s="84"/>
      <c r="G3" s="84"/>
      <c r="H3" s="84"/>
      <c r="I3" s="8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>
      <c r="A5" s="84"/>
      <c r="B5" s="84"/>
      <c r="C5" s="84"/>
      <c r="D5" s="84"/>
      <c r="E5" s="84"/>
      <c r="F5" s="84"/>
      <c r="G5" s="84"/>
      <c r="H5" s="84"/>
      <c r="I5" s="8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>
      <c r="A6" s="633" t="s">
        <v>6</v>
      </c>
      <c r="B6" s="633"/>
      <c r="C6" s="633"/>
      <c r="D6" s="633"/>
      <c r="E6" s="633"/>
      <c r="F6" s="633"/>
      <c r="G6" s="633"/>
      <c r="H6" s="633"/>
      <c r="I6" s="63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>
      <c r="A7" s="161"/>
      <c r="B7" s="161"/>
      <c r="C7" s="161"/>
      <c r="D7" s="161"/>
      <c r="E7" s="161"/>
      <c r="F7" s="161"/>
      <c r="G7" s="161"/>
      <c r="H7" s="161"/>
      <c r="I7" s="16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634" t="s">
        <v>128</v>
      </c>
      <c r="B8" s="634"/>
      <c r="C8" s="634"/>
      <c r="D8" s="634"/>
      <c r="E8" s="634"/>
      <c r="F8" s="634"/>
      <c r="G8" s="634"/>
      <c r="H8" s="634"/>
      <c r="I8" s="63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s="152" t="s">
        <v>12</v>
      </c>
      <c r="B10" s="648" t="s">
        <v>352</v>
      </c>
      <c r="C10" s="648"/>
      <c r="D10" s="648"/>
      <c r="E10" s="648"/>
      <c r="F10" s="648"/>
      <c r="G10" s="648"/>
      <c r="H10" s="648"/>
      <c r="I10" s="30" t="s">
        <v>428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>
      <c r="A13" s="160"/>
      <c r="B13" s="161"/>
      <c r="C13" s="161"/>
      <c r="D13" s="161"/>
      <c r="E13" s="161"/>
      <c r="F13" s="161"/>
      <c r="G13" s="161"/>
      <c r="H13" s="160"/>
      <c r="I13" s="16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>
      <c r="A16" s="638" t="s">
        <v>292</v>
      </c>
      <c r="B16" s="638"/>
      <c r="C16" s="638"/>
      <c r="D16" s="638"/>
      <c r="E16" s="638">
        <v>2</v>
      </c>
      <c r="F16" s="638"/>
      <c r="G16" s="638"/>
      <c r="H16" s="638"/>
      <c r="I16" s="63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>
      <c r="A17" s="638"/>
      <c r="B17" s="638"/>
      <c r="C17" s="638"/>
      <c r="D17" s="638"/>
      <c r="E17" s="638"/>
      <c r="F17" s="638"/>
      <c r="G17" s="638"/>
      <c r="H17" s="638"/>
      <c r="I17" s="63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>
      <c r="A18" s="638"/>
      <c r="B18" s="638"/>
      <c r="C18" s="638"/>
      <c r="D18" s="638"/>
      <c r="E18" s="638"/>
      <c r="F18" s="638"/>
      <c r="G18" s="638"/>
      <c r="H18" s="638"/>
      <c r="I18" s="63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>
      <c r="A19" s="160"/>
      <c r="B19" s="160"/>
      <c r="C19" s="160"/>
      <c r="D19" s="160"/>
      <c r="E19" s="160"/>
      <c r="F19" s="160"/>
      <c r="G19" s="160"/>
      <c r="H19" s="160"/>
      <c r="I19" s="16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>
      <c r="A21" s="118" t="s">
        <v>98</v>
      </c>
      <c r="B21" s="161"/>
      <c r="C21" s="161"/>
      <c r="D21" s="161"/>
      <c r="E21" s="161"/>
      <c r="F21" s="175"/>
      <c r="G21" s="161"/>
      <c r="H21" s="160"/>
      <c r="I21" s="16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512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>
      <c r="A28" s="143"/>
      <c r="B28" s="3"/>
      <c r="C28" s="3"/>
      <c r="D28" s="3"/>
      <c r="E28" s="3"/>
      <c r="F28" s="3"/>
      <c r="G28" s="3"/>
      <c r="H28" s="3"/>
      <c r="I28" s="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(I25)</f>
        <v>1764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>
      <c r="A32" s="9" t="s">
        <v>12</v>
      </c>
      <c r="B32" s="648" t="s">
        <v>313</v>
      </c>
      <c r="C32" s="648"/>
      <c r="D32" s="648"/>
      <c r="E32" s="648"/>
      <c r="F32" s="648"/>
      <c r="G32" s="648"/>
      <c r="H32" s="309">
        <v>122</v>
      </c>
      <c r="I32" s="29">
        <f>H32</f>
        <v>122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f>H34*I31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>
      <c r="A39" s="95"/>
      <c r="B39" s="95"/>
      <c r="C39" s="95"/>
      <c r="D39" s="95"/>
      <c r="E39" s="95"/>
      <c r="F39" s="95"/>
      <c r="G39" s="95"/>
      <c r="H39" s="95"/>
      <c r="I39" s="1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>
      <c r="A46" s="95"/>
      <c r="B46" s="95"/>
      <c r="C46" s="95"/>
      <c r="D46" s="95"/>
      <c r="E46" s="95"/>
      <c r="F46" s="95"/>
      <c r="G46" s="95"/>
      <c r="H46" s="15"/>
      <c r="I46" s="1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>
      <c r="A58" s="16"/>
      <c r="B58" s="16"/>
      <c r="C58" s="16"/>
      <c r="D58" s="16"/>
      <c r="E58" s="16"/>
      <c r="F58" s="16"/>
      <c r="G58" s="16"/>
      <c r="H58" s="17"/>
      <c r="I58" s="1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158.16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>
      <c r="A68" s="9" t="s">
        <v>18</v>
      </c>
      <c r="B68" s="661" t="s">
        <v>147</v>
      </c>
      <c r="C68" s="661"/>
      <c r="D68" s="661"/>
      <c r="E68" s="661"/>
      <c r="F68" s="661"/>
      <c r="G68" s="661"/>
      <c r="H68" s="176">
        <v>0</v>
      </c>
      <c r="I68" s="70">
        <v>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945.65920000000006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>
      <c r="A74" s="95"/>
      <c r="B74" s="95"/>
      <c r="C74" s="95"/>
      <c r="D74" s="95"/>
      <c r="E74" s="95"/>
      <c r="F74" s="95"/>
      <c r="G74" s="95"/>
      <c r="H74" s="95"/>
      <c r="I74" s="1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945.65920000000006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1926.3505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>
      <c r="A81" s="668"/>
      <c r="B81" s="669"/>
      <c r="C81" s="669"/>
      <c r="D81" s="669"/>
      <c r="E81" s="669"/>
      <c r="F81" s="669"/>
      <c r="G81" s="669"/>
      <c r="H81" s="669"/>
      <c r="I81" s="66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>
      <c r="A91" s="668"/>
      <c r="B91" s="669"/>
      <c r="C91" s="669"/>
      <c r="D91" s="669"/>
      <c r="E91" s="669"/>
      <c r="F91" s="669"/>
      <c r="G91" s="669"/>
      <c r="H91" s="669"/>
      <c r="I91" s="6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328.08808333333332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87.49015555555556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1.4005319113146666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0.72179378333333333</v>
      </c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5.6192040998058239</v>
      </c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423.31970000000001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>
      <c r="A102" s="674"/>
      <c r="B102" s="675"/>
      <c r="C102" s="675"/>
      <c r="D102" s="675"/>
      <c r="E102" s="675"/>
      <c r="F102" s="675"/>
      <c r="G102" s="675"/>
      <c r="H102" s="675"/>
      <c r="I102" s="675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>
      <c r="A107" s="94"/>
      <c r="B107" s="94"/>
      <c r="C107" s="94"/>
      <c r="D107" s="94"/>
      <c r="E107" s="94"/>
      <c r="F107" s="94"/>
      <c r="G107" s="94"/>
      <c r="H107" s="94"/>
      <c r="I107" s="94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423.31970000000001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423.31970000000001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>
      <c r="A113" s="674"/>
      <c r="B113" s="675"/>
      <c r="C113" s="675"/>
      <c r="D113" s="675"/>
      <c r="E113" s="675"/>
      <c r="F113" s="675"/>
      <c r="G113" s="675"/>
      <c r="H113" s="675"/>
      <c r="I113" s="675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>
      <c r="A121" s="16"/>
      <c r="B121" s="16"/>
      <c r="C121" s="16"/>
      <c r="D121" s="16"/>
      <c r="E121" s="16"/>
      <c r="F121" s="16"/>
      <c r="G121" s="16"/>
      <c r="H121" s="17"/>
      <c r="I121" s="1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228.67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326.07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>
      <c r="A128" s="9"/>
      <c r="B128" s="645" t="s">
        <v>425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36.490343240284624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168.41696880131363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>
      <c r="A132" s="9"/>
      <c r="B132" s="671" t="s">
        <v>141</v>
      </c>
      <c r="C132" s="672"/>
      <c r="D132" s="672"/>
      <c r="E132" s="672"/>
      <c r="F132" s="672"/>
      <c r="G132" s="672"/>
      <c r="H132" s="207"/>
      <c r="I132" s="2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280.69494800218939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1040.3422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>
      <c r="A137" s="95"/>
      <c r="B137" s="95"/>
      <c r="C137" s="95"/>
      <c r="D137" s="95"/>
      <c r="E137" s="95"/>
      <c r="F137" s="95"/>
      <c r="G137" s="95"/>
      <c r="H137" s="25"/>
      <c r="I137" s="1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1926.3505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423.31970000000001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4573.5567000000001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1040.3422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5613.8989000000001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>
      <c r="A148" s="5"/>
      <c r="B148" s="5"/>
      <c r="C148" s="5"/>
      <c r="D148" s="5"/>
      <c r="E148" s="5"/>
      <c r="F148" s="5"/>
      <c r="G148" s="5"/>
      <c r="H148" s="5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42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27.65" customHeight="1">
      <c r="A151" s="681" t="str">
        <f>I23</f>
        <v xml:space="preserve">Limpeza </v>
      </c>
      <c r="B151" s="682"/>
      <c r="C151" s="683">
        <f>(I147)</f>
        <v>5613.8989000000001</v>
      </c>
      <c r="D151" s="683"/>
      <c r="E151" s="72">
        <v>1</v>
      </c>
      <c r="F151" s="683">
        <f>(I147)</f>
        <v>5613.8989000000001</v>
      </c>
      <c r="G151" s="683"/>
      <c r="H151" s="72">
        <v>2</v>
      </c>
      <c r="I151" s="141">
        <f>F151*H151</f>
        <v>11227.7978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>
      <c r="A152" s="681" t="s">
        <v>298</v>
      </c>
      <c r="B152" s="682"/>
      <c r="C152" s="694"/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11227.7978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134733.5736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>
      <c r="A155" s="85"/>
      <c r="B155" s="85"/>
      <c r="C155" s="85"/>
      <c r="D155" s="85"/>
      <c r="E155" s="85"/>
      <c r="F155" s="85"/>
      <c r="G155" s="85"/>
      <c r="H155" s="85"/>
      <c r="I155" s="86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>
      <c r="A157" s="735" t="s">
        <v>131</v>
      </c>
      <c r="B157" s="736"/>
      <c r="C157" s="736"/>
      <c r="D157" s="736"/>
      <c r="E157" s="106"/>
      <c r="F157" s="737" t="s">
        <v>132</v>
      </c>
      <c r="G157" s="737"/>
      <c r="H157" s="737"/>
      <c r="I157" s="738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>
      <c r="A158" s="739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>
      <c r="A159" s="107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108" t="s">
        <v>101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>
      <c r="A160" s="196">
        <v>6</v>
      </c>
      <c r="B160" s="182">
        <v>1</v>
      </c>
      <c r="C160" s="182">
        <v>44</v>
      </c>
      <c r="D160" s="183">
        <f>A160*B160*C160</f>
        <v>264</v>
      </c>
      <c r="E160" s="184"/>
      <c r="F160" s="203">
        <v>26.833300000000001</v>
      </c>
      <c r="G160" s="182">
        <v>1</v>
      </c>
      <c r="H160" s="34">
        <v>30</v>
      </c>
      <c r="I160" s="109">
        <f>F160*G160*H160</f>
        <v>804.99900000000002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>
      <c r="A161" s="110"/>
      <c r="B161" s="78"/>
      <c r="C161" s="79"/>
      <c r="D161" s="80"/>
      <c r="E161" s="32"/>
      <c r="F161" s="81"/>
      <c r="G161" s="79"/>
      <c r="H161" s="79"/>
      <c r="I161" s="11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649999999999999" customHeight="1">
      <c r="A162" s="107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11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>
      <c r="A163" s="113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11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>
      <c r="A164" s="114"/>
      <c r="B164" s="40"/>
      <c r="C164" s="40"/>
      <c r="D164" s="41"/>
      <c r="E164" s="32"/>
      <c r="F164" s="42"/>
      <c r="G164" s="40"/>
      <c r="H164" s="40"/>
      <c r="I164" s="11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5" thickBot="1">
      <c r="A165" s="115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11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26.25" customHeight="1" thickBot="1">
      <c r="A166" s="113">
        <f>D160</f>
        <v>264</v>
      </c>
      <c r="B166" s="50">
        <f>C163</f>
        <v>105.84</v>
      </c>
      <c r="C166" s="51">
        <f>A166-B166</f>
        <v>158.16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116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>
      <c r="A167" s="104"/>
      <c r="B167" s="104"/>
      <c r="C167" s="104"/>
      <c r="D167" s="40"/>
      <c r="E167" s="32"/>
      <c r="F167" s="104"/>
      <c r="G167" s="105"/>
      <c r="H167" s="104"/>
      <c r="I167" s="40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>
      <c r="A168" s="104"/>
      <c r="B168" s="104"/>
      <c r="C168" s="104"/>
      <c r="D168" s="40"/>
      <c r="E168" s="32"/>
      <c r="F168" s="104"/>
      <c r="G168" s="105"/>
      <c r="H168" s="104"/>
      <c r="I168" s="40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>
      <c r="A172" s="59" t="s">
        <v>11</v>
      </c>
      <c r="B172" s="127" t="s">
        <v>403</v>
      </c>
      <c r="C172" s="128"/>
      <c r="D172" s="128"/>
      <c r="E172" s="128"/>
      <c r="F172" s="128"/>
      <c r="G172" s="128"/>
      <c r="H172" s="129"/>
      <c r="I172" s="130">
        <f>I220</f>
        <v>11929.736199999999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>
      <c r="A173" s="125" t="s">
        <v>12</v>
      </c>
      <c r="B173" s="61" t="s">
        <v>97</v>
      </c>
      <c r="C173" s="62"/>
      <c r="D173" s="62"/>
      <c r="E173" s="62"/>
      <c r="F173" s="62"/>
      <c r="G173" s="62"/>
      <c r="H173" s="63"/>
      <c r="I173" s="126">
        <v>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>
      <c r="A174" s="60" t="s">
        <v>13</v>
      </c>
      <c r="B174" s="756" t="s">
        <v>501</v>
      </c>
      <c r="C174" s="757"/>
      <c r="D174" s="757"/>
      <c r="E174" s="757"/>
      <c r="F174" s="757"/>
      <c r="G174" s="757"/>
      <c r="H174" s="63"/>
      <c r="I174" s="122">
        <f>I152</f>
        <v>0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5" thickBot="1">
      <c r="A175" s="64"/>
      <c r="B175" s="758" t="s">
        <v>591</v>
      </c>
      <c r="C175" s="759"/>
      <c r="D175" s="759"/>
      <c r="E175" s="759"/>
      <c r="F175" s="759"/>
      <c r="G175" s="759"/>
      <c r="H175" s="65"/>
      <c r="I175" s="131">
        <f>TRUNC(((I172+I174)*12),4)</f>
        <v>143156.83439999999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>
      <c r="A176" s="149"/>
      <c r="B176" s="150"/>
      <c r="C176" s="150"/>
      <c r="D176" s="150"/>
      <c r="E176" s="150"/>
      <c r="F176" s="150"/>
      <c r="G176" s="150"/>
      <c r="H176" s="150"/>
      <c r="I176" s="150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>
      <c r="A178" s="118"/>
      <c r="B178" s="118"/>
      <c r="C178" s="118"/>
      <c r="D178" s="118"/>
      <c r="E178" s="118"/>
      <c r="F178" s="118"/>
      <c r="G178" s="118"/>
      <c r="H178" s="118"/>
      <c r="I178" s="118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>
      <c r="A179" s="67" t="s">
        <v>109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>
      <c r="A180" s="669"/>
      <c r="B180" s="669"/>
      <c r="C180" s="669"/>
      <c r="D180" s="669"/>
      <c r="E180" s="669"/>
      <c r="F180" s="669"/>
      <c r="G180" s="669"/>
      <c r="H180" s="669"/>
      <c r="I180" s="669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>
      <c r="A181" s="669" t="s">
        <v>402</v>
      </c>
      <c r="B181" s="669"/>
      <c r="C181" s="669"/>
      <c r="D181" s="669"/>
      <c r="E181" s="669"/>
      <c r="F181" s="669"/>
      <c r="G181" s="669"/>
      <c r="H181" s="669"/>
      <c r="I181" s="669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>
      <c r="A182" s="743" t="s">
        <v>110</v>
      </c>
      <c r="B182" s="744"/>
      <c r="C182" s="743" t="s">
        <v>111</v>
      </c>
      <c r="D182" s="745"/>
      <c r="E182" s="744"/>
      <c r="F182" s="746" t="s">
        <v>112</v>
      </c>
      <c r="G182" s="747"/>
      <c r="H182" s="743" t="s">
        <v>113</v>
      </c>
      <c r="I182" s="744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>
      <c r="A183" s="748" t="s">
        <v>114</v>
      </c>
      <c r="B183" s="749"/>
      <c r="C183" s="750">
        <f>1/800</f>
        <v>1.25E-3</v>
      </c>
      <c r="D183" s="751"/>
      <c r="E183" s="752"/>
      <c r="F183" s="753">
        <f>C151</f>
        <v>5613.8989000000001</v>
      </c>
      <c r="G183" s="752"/>
      <c r="H183" s="753">
        <f>TRUNC((C183*F183),2)</f>
        <v>7.01</v>
      </c>
      <c r="I183" s="754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>
      <c r="A184" s="760" t="s">
        <v>511</v>
      </c>
      <c r="B184" s="761"/>
      <c r="C184" s="767">
        <f>1/(30*800)</f>
        <v>4.1666666666666665E-5</v>
      </c>
      <c r="D184" s="768"/>
      <c r="E184" s="769"/>
      <c r="F184" s="764">
        <f>'Supervisor '!I153</f>
        <v>7536.3797000000004</v>
      </c>
      <c r="G184" s="765"/>
      <c r="H184" s="764">
        <f>TRUNC((C184*F184),2)</f>
        <v>0.31</v>
      </c>
      <c r="I184" s="766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>
      <c r="A185" s="760" t="s">
        <v>24</v>
      </c>
      <c r="B185" s="762"/>
      <c r="C185" s="376"/>
      <c r="D185" s="373"/>
      <c r="E185" s="373"/>
      <c r="F185" s="377"/>
      <c r="G185" s="377"/>
      <c r="H185" s="764">
        <f>TRUNC((H183+H184),2)</f>
        <v>7.32</v>
      </c>
      <c r="I185" s="766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7" spans="1:33">
      <c r="A187" s="668" t="s">
        <v>498</v>
      </c>
      <c r="B187" s="669"/>
      <c r="C187" s="669"/>
      <c r="D187" s="669"/>
      <c r="E187" s="669"/>
      <c r="F187" s="669"/>
      <c r="G187" s="669"/>
      <c r="H187" s="669"/>
      <c r="I187" s="669"/>
    </row>
    <row r="188" spans="1:33">
      <c r="A188" s="743" t="s">
        <v>110</v>
      </c>
      <c r="B188" s="744"/>
      <c r="C188" s="743" t="s">
        <v>111</v>
      </c>
      <c r="D188" s="745"/>
      <c r="E188" s="744"/>
      <c r="F188" s="746" t="s">
        <v>112</v>
      </c>
      <c r="G188" s="747"/>
      <c r="H188" s="743" t="s">
        <v>113</v>
      </c>
      <c r="I188" s="744"/>
    </row>
    <row r="189" spans="1:33">
      <c r="A189" s="748" t="s">
        <v>114</v>
      </c>
      <c r="B189" s="749"/>
      <c r="C189" s="750">
        <f>1/200</f>
        <v>5.0000000000000001E-3</v>
      </c>
      <c r="D189" s="751"/>
      <c r="E189" s="752"/>
      <c r="F189" s="753">
        <f>C151</f>
        <v>5613.8989000000001</v>
      </c>
      <c r="G189" s="752"/>
      <c r="H189" s="753">
        <f>TRUNC((C189*F189),2)</f>
        <v>28.06</v>
      </c>
      <c r="I189" s="754"/>
    </row>
    <row r="190" spans="1:33">
      <c r="A190" s="760" t="s">
        <v>511</v>
      </c>
      <c r="B190" s="761"/>
      <c r="C190" s="767">
        <f>1/(30*200)</f>
        <v>1.6666666666666666E-4</v>
      </c>
      <c r="D190" s="768"/>
      <c r="E190" s="769"/>
      <c r="F190" s="764">
        <f>'Supervisor '!I153</f>
        <v>7536.3797000000004</v>
      </c>
      <c r="G190" s="765"/>
      <c r="H190" s="764">
        <f>TRUNC((C190*F190),2)</f>
        <v>1.25</v>
      </c>
      <c r="I190" s="766"/>
    </row>
    <row r="191" spans="1:33">
      <c r="A191" s="760" t="s">
        <v>24</v>
      </c>
      <c r="B191" s="762"/>
      <c r="C191" s="376"/>
      <c r="D191" s="373"/>
      <c r="E191" s="373"/>
      <c r="F191" s="377"/>
      <c r="G191" s="377"/>
      <c r="H191" s="764">
        <f>TRUNC((H189+H190),2)</f>
        <v>29.31</v>
      </c>
      <c r="I191" s="766"/>
    </row>
    <row r="193" spans="1:33">
      <c r="A193" s="669" t="s">
        <v>401</v>
      </c>
      <c r="B193" s="669"/>
      <c r="C193" s="669"/>
      <c r="D193" s="669"/>
      <c r="E193" s="669"/>
      <c r="F193" s="669"/>
      <c r="G193" s="669"/>
      <c r="H193" s="669"/>
      <c r="I193" s="669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>
      <c r="A194" s="743" t="s">
        <v>110</v>
      </c>
      <c r="B194" s="744"/>
      <c r="C194" s="743" t="s">
        <v>111</v>
      </c>
      <c r="D194" s="745"/>
      <c r="E194" s="744"/>
      <c r="F194" s="746" t="s">
        <v>112</v>
      </c>
      <c r="G194" s="747"/>
      <c r="H194" s="743" t="s">
        <v>113</v>
      </c>
      <c r="I194" s="744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>
      <c r="A195" s="748" t="s">
        <v>114</v>
      </c>
      <c r="B195" s="749"/>
      <c r="C195" s="750">
        <f>1/1800</f>
        <v>5.5555555555555556E-4</v>
      </c>
      <c r="D195" s="751"/>
      <c r="E195" s="752"/>
      <c r="F195" s="753">
        <f>C151</f>
        <v>5613.8989000000001</v>
      </c>
      <c r="G195" s="752"/>
      <c r="H195" s="753">
        <f>TRUNC((C195*F195),2)</f>
        <v>3.11</v>
      </c>
      <c r="I195" s="754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>
      <c r="A196" s="760" t="s">
        <v>511</v>
      </c>
      <c r="B196" s="761"/>
      <c r="C196" s="767">
        <f>1/(30*1800)</f>
        <v>1.8518518518518518E-5</v>
      </c>
      <c r="D196" s="768"/>
      <c r="E196" s="769"/>
      <c r="F196" s="764">
        <f>'Supervisor '!I153</f>
        <v>7536.3797000000004</v>
      </c>
      <c r="G196" s="765"/>
      <c r="H196" s="764">
        <f>TRUNC((C196*F196),2)</f>
        <v>0.13</v>
      </c>
      <c r="I196" s="766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>
      <c r="A197" s="760" t="s">
        <v>24</v>
      </c>
      <c r="B197" s="762"/>
      <c r="C197" s="376"/>
      <c r="D197" s="373"/>
      <c r="E197" s="373"/>
      <c r="F197" s="377"/>
      <c r="G197" s="377"/>
      <c r="H197" s="764">
        <f>TRUNC((H195+H196),2)</f>
        <v>3.24</v>
      </c>
      <c r="I197" s="766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9" spans="1:33" ht="15" customHeight="1">
      <c r="A199" s="668" t="s">
        <v>500</v>
      </c>
      <c r="B199" s="669"/>
      <c r="C199" s="669"/>
      <c r="D199" s="669"/>
      <c r="E199" s="669"/>
      <c r="F199" s="669"/>
      <c r="G199" s="669"/>
      <c r="H199" s="669"/>
      <c r="I199" s="669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70">
      <c r="A200" s="748" t="s">
        <v>110</v>
      </c>
      <c r="B200" s="749"/>
      <c r="C200" s="68" t="s">
        <v>119</v>
      </c>
      <c r="D200" s="68" t="s">
        <v>120</v>
      </c>
      <c r="E200" s="68" t="s">
        <v>121</v>
      </c>
      <c r="F200" s="68" t="s">
        <v>122</v>
      </c>
      <c r="G200" s="68" t="s">
        <v>123</v>
      </c>
      <c r="H200" s="68" t="s">
        <v>124</v>
      </c>
      <c r="I200" s="119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>
      <c r="A201" s="771" t="s">
        <v>114</v>
      </c>
      <c r="B201" s="771"/>
      <c r="C201" s="66">
        <f>1/300</f>
        <v>3.3333333333333335E-3</v>
      </c>
      <c r="D201" s="30">
        <v>16</v>
      </c>
      <c r="E201" s="66">
        <f>1/188.76</f>
        <v>5.2977325704598437E-3</v>
      </c>
      <c r="F201" s="147">
        <f>C201*D201*E201</f>
        <v>2.8254573709119167E-4</v>
      </c>
      <c r="G201" s="29">
        <f>C151</f>
        <v>5613.8989000000001</v>
      </c>
      <c r="H201" s="29">
        <f>TRUNC((F201*G201),2)</f>
        <v>1.58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>
      <c r="A202" s="760" t="s">
        <v>511</v>
      </c>
      <c r="B202" s="761"/>
      <c r="C202" s="372">
        <f>1/(30*300)</f>
        <v>1.1111111111111112E-4</v>
      </c>
      <c r="D202" s="373">
        <v>16</v>
      </c>
      <c r="E202" s="66">
        <f>1/188.76</f>
        <v>5.2977325704598437E-3</v>
      </c>
      <c r="F202" s="147">
        <f>C202*D202*E202</f>
        <v>9.418191236373056E-6</v>
      </c>
      <c r="G202" s="29">
        <f>'Supervisor '!I153</f>
        <v>7536.3797000000004</v>
      </c>
      <c r="H202" s="29">
        <f>TRUNC((F202*G202),2)</f>
        <v>7.0000000000000007E-2</v>
      </c>
      <c r="I202" s="36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>
      <c r="A203" s="760" t="s">
        <v>24</v>
      </c>
      <c r="B203" s="762"/>
      <c r="C203" s="379"/>
      <c r="D203" s="373"/>
      <c r="E203" s="373"/>
      <c r="F203" s="377"/>
      <c r="G203" s="377"/>
      <c r="H203" s="378">
        <f>TRUNC((H201+H202),2)</f>
        <v>1.65</v>
      </c>
      <c r="I203" s="159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>
      <c r="A204" s="143"/>
      <c r="B204" s="143"/>
      <c r="C204" s="143"/>
      <c r="D204" s="143"/>
      <c r="E204" s="143"/>
      <c r="F204" s="143"/>
      <c r="G204" s="143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>
      <c r="A205" s="67" t="s">
        <v>592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70">
      <c r="A206" s="748" t="s">
        <v>110</v>
      </c>
      <c r="B206" s="749"/>
      <c r="C206" s="68" t="s">
        <v>119</v>
      </c>
      <c r="D206" s="68" t="s">
        <v>120</v>
      </c>
      <c r="E206" s="68" t="s">
        <v>121</v>
      </c>
      <c r="F206" s="68" t="s">
        <v>122</v>
      </c>
      <c r="G206" s="68" t="s">
        <v>123</v>
      </c>
      <c r="H206" s="68" t="s">
        <v>124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>
      <c r="A207" s="771" t="s">
        <v>114</v>
      </c>
      <c r="B207" s="771"/>
      <c r="C207" s="66">
        <f>1/130</f>
        <v>7.6923076923076927E-3</v>
      </c>
      <c r="D207" s="30">
        <v>8</v>
      </c>
      <c r="E207" s="66">
        <f>1/188.76</f>
        <v>5.2977325704598437E-3</v>
      </c>
      <c r="F207" s="30">
        <f>C207*D207*E207</f>
        <v>3.2601431202829807E-4</v>
      </c>
      <c r="G207" s="29">
        <f>C151</f>
        <v>5613.8989000000001</v>
      </c>
      <c r="H207" s="371">
        <f>TRUNC((F207*G207),2)</f>
        <v>1.83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>
      <c r="A208" s="760" t="s">
        <v>511</v>
      </c>
      <c r="B208" s="761"/>
      <c r="C208" s="372">
        <f>1/(4*300)</f>
        <v>8.3333333333333339E-4</v>
      </c>
      <c r="D208" s="373">
        <v>8</v>
      </c>
      <c r="E208" s="66">
        <f>1/188.76</f>
        <v>5.2977325704598437E-3</v>
      </c>
      <c r="F208" s="147">
        <f>C208*D208*E208</f>
        <v>3.5318217136398959E-5</v>
      </c>
      <c r="G208" s="374">
        <f>'Supervisor '!I153</f>
        <v>7536.3797000000004</v>
      </c>
      <c r="H208" s="375">
        <f>TRUNC((F208*G208),4)</f>
        <v>0.2661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>
      <c r="A209" s="760" t="s">
        <v>24</v>
      </c>
      <c r="B209" s="761"/>
      <c r="C209" s="376"/>
      <c r="D209" s="373"/>
      <c r="E209" s="373"/>
      <c r="F209" s="377"/>
      <c r="G209" s="377"/>
      <c r="H209" s="378">
        <f>TRUNC((H207+H208),4)</f>
        <v>2.0960999999999999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1" spans="1:33">
      <c r="A211" s="772" t="s">
        <v>115</v>
      </c>
      <c r="B211" s="773"/>
      <c r="C211" s="773"/>
      <c r="D211" s="773"/>
      <c r="E211" s="773"/>
      <c r="F211" s="773"/>
      <c r="G211" s="773"/>
      <c r="H211" s="773"/>
      <c r="I211" s="774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>
      <c r="A212" s="743" t="s">
        <v>117</v>
      </c>
      <c r="B212" s="745"/>
      <c r="C212" s="745"/>
      <c r="D212" s="744"/>
      <c r="E212" s="746" t="s">
        <v>116</v>
      </c>
      <c r="F212" s="770"/>
      <c r="G212" s="747"/>
      <c r="H212" s="9" t="s">
        <v>118</v>
      </c>
      <c r="I212" s="9" t="s">
        <v>107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>
      <c r="A213" s="671" t="s">
        <v>504</v>
      </c>
      <c r="B213" s="672"/>
      <c r="C213" s="672"/>
      <c r="D213" s="673"/>
      <c r="E213" s="753">
        <f>H185</f>
        <v>7.32</v>
      </c>
      <c r="F213" s="751"/>
      <c r="G213" s="752"/>
      <c r="H213" s="22">
        <f>('Limpeza - Imóveis'!U7)/2-('Limpeza - Imóveis'!D7)/2</f>
        <v>1072.3499999999999</v>
      </c>
      <c r="I213" s="29">
        <f>E213*H213</f>
        <v>7849.6019999999999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>
      <c r="A214" s="671" t="s">
        <v>505</v>
      </c>
      <c r="B214" s="672"/>
      <c r="C214" s="672"/>
      <c r="D214" s="673"/>
      <c r="E214" s="753">
        <f>H191</f>
        <v>29.31</v>
      </c>
      <c r="F214" s="763"/>
      <c r="G214" s="754"/>
      <c r="H214" s="22">
        <f>('Limpeza - Imóveis'!D7)/2</f>
        <v>46.435000000000002</v>
      </c>
      <c r="I214" s="29">
        <f>E214*H214</f>
        <v>1361.0098499999999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>
      <c r="A215" s="671" t="s">
        <v>506</v>
      </c>
      <c r="B215" s="672"/>
      <c r="C215" s="672"/>
      <c r="D215" s="673"/>
      <c r="E215" s="753">
        <f>H197</f>
        <v>3.24</v>
      </c>
      <c r="F215" s="751"/>
      <c r="G215" s="752"/>
      <c r="H215" s="22">
        <f>'Limpeza - Imóveis'!V7+'Limpeza - Imóveis'!W7+'Limpeza - Imóveis'!X7</f>
        <v>475</v>
      </c>
      <c r="I215" s="29">
        <f t="shared" ref="I215:I218" si="0">E215*H215</f>
        <v>1539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>
      <c r="A216" s="671" t="s">
        <v>589</v>
      </c>
      <c r="B216" s="672"/>
      <c r="C216" s="672"/>
      <c r="D216" s="673"/>
      <c r="E216" s="753">
        <f>H203</f>
        <v>1.65</v>
      </c>
      <c r="F216" s="751"/>
      <c r="G216" s="752"/>
      <c r="H216" s="22">
        <f>'Limpeza - Imóveis'!AA7/2</f>
        <v>202</v>
      </c>
      <c r="I216" s="29">
        <f t="shared" si="0"/>
        <v>333.29999999999995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>
      <c r="A217" s="671" t="s">
        <v>590</v>
      </c>
      <c r="B217" s="672"/>
      <c r="C217" s="672"/>
      <c r="D217" s="673"/>
      <c r="E217" s="753">
        <f>H209</f>
        <v>2.0960999999999999</v>
      </c>
      <c r="F217" s="763"/>
      <c r="G217" s="754"/>
      <c r="H217" s="22">
        <f>'Limpeza - Imóveis'!AD7</f>
        <v>404</v>
      </c>
      <c r="I217" s="29">
        <f t="shared" si="0"/>
        <v>846.82439999999997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>
      <c r="A218" s="671" t="s">
        <v>593</v>
      </c>
      <c r="B218" s="672"/>
      <c r="C218" s="672"/>
      <c r="D218" s="673"/>
      <c r="E218" s="753">
        <v>0</v>
      </c>
      <c r="F218" s="763"/>
      <c r="G218" s="754"/>
      <c r="H218" s="370"/>
      <c r="I218" s="29">
        <f t="shared" si="0"/>
        <v>0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>
      <c r="A219" s="671" t="s">
        <v>502</v>
      </c>
      <c r="B219" s="672"/>
      <c r="C219" s="672"/>
      <c r="D219" s="673"/>
      <c r="E219" s="753">
        <f>H211</f>
        <v>0</v>
      </c>
      <c r="F219" s="763"/>
      <c r="G219" s="754"/>
      <c r="H219" s="22"/>
      <c r="I219" s="29">
        <f>E219*H219</f>
        <v>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>
      <c r="A220" s="684" t="s">
        <v>24</v>
      </c>
      <c r="B220" s="685"/>
      <c r="C220" s="685"/>
      <c r="D220" s="685"/>
      <c r="E220" s="685"/>
      <c r="F220" s="685"/>
      <c r="G220" s="686"/>
      <c r="H220" s="121"/>
      <c r="I220" s="10">
        <f>TRUNC(SUM(I213:I219),4)</f>
        <v>11929.736199999999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s="84" customFormat="1"/>
    <row r="222" spans="1:33" s="84" customFormat="1">
      <c r="F222" s="214"/>
    </row>
    <row r="223" spans="1:33" s="84" customFormat="1"/>
    <row r="224" spans="1:33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  <row r="371" s="84" customFormat="1"/>
    <row r="372" s="84" customFormat="1"/>
    <row r="373" s="84" customFormat="1"/>
    <row r="374" s="84" customFormat="1"/>
    <row r="375" s="84" customFormat="1"/>
    <row r="376" s="84" customFormat="1"/>
    <row r="377" s="84" customFormat="1"/>
    <row r="378" s="84" customFormat="1"/>
    <row r="379" s="84" customFormat="1"/>
    <row r="380" s="84" customFormat="1"/>
    <row r="381" s="84" customFormat="1"/>
    <row r="382" s="84" customFormat="1"/>
    <row r="383" s="84" customFormat="1"/>
    <row r="384" s="84" customFormat="1"/>
    <row r="385" s="84" customFormat="1"/>
    <row r="386" s="84" customFormat="1"/>
    <row r="387" s="84" customFormat="1"/>
    <row r="388" s="84" customFormat="1"/>
    <row r="389" s="84" customFormat="1"/>
    <row r="390" s="84" customFormat="1"/>
    <row r="391" s="84" customFormat="1"/>
    <row r="392" s="84" customFormat="1"/>
    <row r="393" s="84" customFormat="1"/>
    <row r="394" s="84" customFormat="1"/>
    <row r="395" s="84" customFormat="1"/>
    <row r="396" s="84" customFormat="1"/>
    <row r="397" s="84" customFormat="1"/>
    <row r="398" s="84" customFormat="1"/>
    <row r="399" s="84" customFormat="1"/>
    <row r="400" s="84" customFormat="1"/>
    <row r="401" s="84" customFormat="1"/>
    <row r="402" s="84" customFormat="1"/>
  </sheetData>
  <mergeCells count="230">
    <mergeCell ref="H191:I191"/>
    <mergeCell ref="A197:B197"/>
    <mergeCell ref="H197:I197"/>
    <mergeCell ref="H190:I190"/>
    <mergeCell ref="A196:B196"/>
    <mergeCell ref="C196:E196"/>
    <mergeCell ref="F196:G196"/>
    <mergeCell ref="H196:I196"/>
    <mergeCell ref="A187:I187"/>
    <mergeCell ref="A188:B188"/>
    <mergeCell ref="C188:E188"/>
    <mergeCell ref="F188:G188"/>
    <mergeCell ref="H188:I188"/>
    <mergeCell ref="A189:B189"/>
    <mergeCell ref="C189:E189"/>
    <mergeCell ref="F189:G189"/>
    <mergeCell ref="H189:I189"/>
    <mergeCell ref="A184:B184"/>
    <mergeCell ref="F184:G184"/>
    <mergeCell ref="H184:I184"/>
    <mergeCell ref="C184:E184"/>
    <mergeCell ref="A190:B190"/>
    <mergeCell ref="C190:E190"/>
    <mergeCell ref="F190:G190"/>
    <mergeCell ref="E218:G218"/>
    <mergeCell ref="A218:D218"/>
    <mergeCell ref="A212:D212"/>
    <mergeCell ref="E212:G212"/>
    <mergeCell ref="A213:D213"/>
    <mergeCell ref="E213:G213"/>
    <mergeCell ref="A214:D214"/>
    <mergeCell ref="E214:G214"/>
    <mergeCell ref="A199:I199"/>
    <mergeCell ref="A200:B200"/>
    <mergeCell ref="A201:B201"/>
    <mergeCell ref="A206:B206"/>
    <mergeCell ref="A207:B207"/>
    <mergeCell ref="A211:I211"/>
    <mergeCell ref="A185:B185"/>
    <mergeCell ref="H185:I185"/>
    <mergeCell ref="A191:B191"/>
    <mergeCell ref="A220:G220"/>
    <mergeCell ref="A215:D215"/>
    <mergeCell ref="E215:G215"/>
    <mergeCell ref="A216:D216"/>
    <mergeCell ref="E216:G216"/>
    <mergeCell ref="A217:D217"/>
    <mergeCell ref="E217:G217"/>
    <mergeCell ref="A219:D219"/>
    <mergeCell ref="E219:G219"/>
    <mergeCell ref="A208:B208"/>
    <mergeCell ref="A203:B203"/>
    <mergeCell ref="A209:B209"/>
    <mergeCell ref="A193:I193"/>
    <mergeCell ref="A194:B194"/>
    <mergeCell ref="C194:E194"/>
    <mergeCell ref="F194:G194"/>
    <mergeCell ref="H194:I194"/>
    <mergeCell ref="A195:B195"/>
    <mergeCell ref="C195:E195"/>
    <mergeCell ref="F195:G195"/>
    <mergeCell ref="H195:I195"/>
    <mergeCell ref="A202:B202"/>
    <mergeCell ref="A182:B182"/>
    <mergeCell ref="C182:E182"/>
    <mergeCell ref="F182:G182"/>
    <mergeCell ref="H182:I182"/>
    <mergeCell ref="A183:B183"/>
    <mergeCell ref="C183:E183"/>
    <mergeCell ref="F183:G183"/>
    <mergeCell ref="H183:I183"/>
    <mergeCell ref="B171:H171"/>
    <mergeCell ref="B174:G174"/>
    <mergeCell ref="B175:G175"/>
    <mergeCell ref="A177:I177"/>
    <mergeCell ref="A180:I180"/>
    <mergeCell ref="A181:I181"/>
    <mergeCell ref="A157:D157"/>
    <mergeCell ref="F157:I157"/>
    <mergeCell ref="A158:D158"/>
    <mergeCell ref="F158:I158"/>
    <mergeCell ref="A169:I169"/>
    <mergeCell ref="B170:I170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4" firstPageNumber="0" orientation="portrait" verticalDpi="300" r:id="rId1"/>
  <headerFooter alignWithMargins="0"/>
  <rowBreaks count="2" manualBreakCount="2">
    <brk id="91" max="9" man="1"/>
    <brk id="16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U377"/>
  <sheetViews>
    <sheetView view="pageBreakPreview" topLeftCell="A193" zoomScale="98" zoomScaleNormal="96" zoomScaleSheetLayoutView="98" workbookViewId="0">
      <selection activeCell="E216" sqref="E216:G21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7.26953125" style="2" customWidth="1"/>
    <col min="10" max="21" width="9.1796875" style="84"/>
    <col min="22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351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2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</row>
    <row r="24" spans="1: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9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(I25)</f>
        <v>1764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309">
        <v>122</v>
      </c>
      <c r="I32" s="29">
        <f>H32</f>
        <v>122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158.16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0" t="s">
        <v>147</v>
      </c>
      <c r="C68" s="660"/>
      <c r="D68" s="660"/>
      <c r="E68" s="660"/>
      <c r="F68" s="660"/>
      <c r="G68" s="660"/>
      <c r="H68" s="71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135">
        <v>0</v>
      </c>
      <c r="I71" s="136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945.65920000000006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945.65920000000006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1926.3505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328.08808333333332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87.49015555555556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1.4005319113146666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0.72179378333333333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5.6192040998058239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423.31970000000001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423.31970000000001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423.31970000000001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30" t="s">
        <v>0</v>
      </c>
      <c r="I119" s="29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23"/>
      <c r="I121" s="124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228.67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326.07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36.490343240284624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168.41696880131363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280.69494800218939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1040.3422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1926.3505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423.31970000000001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4573.5567000000001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1040.3422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5613.8989000000001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Limpeza</v>
      </c>
      <c r="B151" s="682"/>
      <c r="C151" s="683">
        <f>(I147)</f>
        <v>5613.8989000000001</v>
      </c>
      <c r="D151" s="683"/>
      <c r="E151" s="72">
        <v>1</v>
      </c>
      <c r="F151" s="683">
        <f>(I147)</f>
        <v>5613.8989000000001</v>
      </c>
      <c r="G151" s="683"/>
      <c r="H151" s="72">
        <v>2</v>
      </c>
      <c r="I151" s="141">
        <f>F151*H151</f>
        <v>11227.7978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11227.7978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134733.5736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6</v>
      </c>
      <c r="B160" s="182">
        <v>1</v>
      </c>
      <c r="C160" s="182">
        <v>44</v>
      </c>
      <c r="D160" s="183">
        <f>A160*B160*C160</f>
        <v>264</v>
      </c>
      <c r="E160" s="184"/>
      <c r="F160" s="203">
        <v>26.833300000000001</v>
      </c>
      <c r="G160" s="34">
        <v>1</v>
      </c>
      <c r="H160" s="34">
        <v>30</v>
      </c>
      <c r="I160" s="39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105.84</v>
      </c>
      <c r="C166" s="51">
        <f>A166-B166</f>
        <v>158.16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>
      <c r="A167" s="104"/>
      <c r="B167" s="104"/>
      <c r="C167" s="104"/>
      <c r="D167" s="40"/>
      <c r="E167" s="32"/>
      <c r="F167" s="104"/>
      <c r="G167" s="105"/>
      <c r="H167" s="104"/>
      <c r="I167" s="40"/>
    </row>
    <row r="168" spans="1:9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9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9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</row>
    <row r="172" spans="1:9">
      <c r="A172" s="59" t="s">
        <v>11</v>
      </c>
      <c r="B172" s="127" t="s">
        <v>403</v>
      </c>
      <c r="C172" s="128"/>
      <c r="D172" s="128"/>
      <c r="E172" s="128"/>
      <c r="F172" s="128"/>
      <c r="G172" s="128"/>
      <c r="H172" s="129"/>
      <c r="I172" s="130">
        <f>I220</f>
        <v>12025.856100000001</v>
      </c>
    </row>
    <row r="173" spans="1:9">
      <c r="A173" s="125" t="s">
        <v>12</v>
      </c>
      <c r="B173" s="61" t="s">
        <v>97</v>
      </c>
      <c r="C173" s="62"/>
      <c r="D173" s="62"/>
      <c r="E173" s="62"/>
      <c r="F173" s="62"/>
      <c r="G173" s="62"/>
      <c r="H173" s="63"/>
      <c r="I173" s="126"/>
    </row>
    <row r="174" spans="1:9" ht="15" customHeight="1">
      <c r="A174" s="60" t="s">
        <v>13</v>
      </c>
      <c r="B174" s="756" t="s">
        <v>501</v>
      </c>
      <c r="C174" s="757"/>
      <c r="D174" s="757"/>
      <c r="E174" s="757"/>
      <c r="F174" s="757"/>
      <c r="G174" s="757"/>
      <c r="H174" s="63"/>
      <c r="I174" s="122">
        <f>I152</f>
        <v>0</v>
      </c>
    </row>
    <row r="175" spans="1:9" ht="15" customHeight="1" thickBot="1">
      <c r="A175" s="64"/>
      <c r="B175" s="758" t="s">
        <v>404</v>
      </c>
      <c r="C175" s="759"/>
      <c r="D175" s="759"/>
      <c r="E175" s="759"/>
      <c r="F175" s="759"/>
      <c r="G175" s="759"/>
      <c r="H175" s="65"/>
      <c r="I175" s="131">
        <f>TRUNC(((I172+I174)*12),4)</f>
        <v>144310.2732</v>
      </c>
    </row>
    <row r="176" spans="1:9" ht="26.25" customHeight="1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9" ht="26.25" customHeight="1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9">
      <c r="A178" s="118"/>
      <c r="B178" s="118"/>
      <c r="C178" s="118"/>
      <c r="D178" s="118"/>
      <c r="E178" s="118"/>
      <c r="F178" s="118"/>
      <c r="G178" s="118"/>
      <c r="H178" s="118"/>
      <c r="I178" s="118"/>
    </row>
    <row r="179" spans="1:9" s="84" customFormat="1">
      <c r="A179" s="67" t="s">
        <v>109</v>
      </c>
      <c r="B179" s="2"/>
      <c r="C179" s="2"/>
      <c r="D179" s="2"/>
      <c r="E179" s="2"/>
      <c r="F179" s="2"/>
      <c r="G179" s="2"/>
      <c r="H179" s="2"/>
      <c r="I179" s="2"/>
    </row>
    <row r="180" spans="1:9" s="84" customFormat="1">
      <c r="A180" s="669"/>
      <c r="B180" s="669"/>
      <c r="C180" s="669"/>
      <c r="D180" s="669"/>
      <c r="E180" s="669"/>
      <c r="F180" s="669"/>
      <c r="G180" s="669"/>
      <c r="H180" s="669"/>
      <c r="I180" s="669"/>
    </row>
    <row r="181" spans="1:9" s="84" customFormat="1">
      <c r="A181" s="669" t="s">
        <v>402</v>
      </c>
      <c r="B181" s="669"/>
      <c r="C181" s="669"/>
      <c r="D181" s="669"/>
      <c r="E181" s="669"/>
      <c r="F181" s="669"/>
      <c r="G181" s="669"/>
      <c r="H181" s="669"/>
      <c r="I181" s="669"/>
    </row>
    <row r="182" spans="1:9" s="84" customFormat="1">
      <c r="A182" s="743" t="s">
        <v>110</v>
      </c>
      <c r="B182" s="744"/>
      <c r="C182" s="743" t="s">
        <v>111</v>
      </c>
      <c r="D182" s="745"/>
      <c r="E182" s="744"/>
      <c r="F182" s="746" t="s">
        <v>112</v>
      </c>
      <c r="G182" s="747"/>
      <c r="H182" s="743" t="s">
        <v>113</v>
      </c>
      <c r="I182" s="744"/>
    </row>
    <row r="183" spans="1:9" s="84" customFormat="1">
      <c r="A183" s="748" t="s">
        <v>114</v>
      </c>
      <c r="B183" s="749"/>
      <c r="C183" s="750">
        <f>1/800</f>
        <v>1.25E-3</v>
      </c>
      <c r="D183" s="751"/>
      <c r="E183" s="752"/>
      <c r="F183" s="753">
        <f>C151</f>
        <v>5613.8989000000001</v>
      </c>
      <c r="G183" s="752"/>
      <c r="H183" s="753">
        <f>TRUNC((C183*F183),2)</f>
        <v>7.01</v>
      </c>
      <c r="I183" s="754"/>
    </row>
    <row r="184" spans="1:9" s="84" customFormat="1">
      <c r="A184" s="760" t="s">
        <v>511</v>
      </c>
      <c r="B184" s="761"/>
      <c r="C184" s="767">
        <f>1/(30*800)</f>
        <v>4.1666666666666665E-5</v>
      </c>
      <c r="D184" s="768"/>
      <c r="E184" s="769"/>
      <c r="F184" s="764">
        <f>'Supervisor '!I153</f>
        <v>7536.3797000000004</v>
      </c>
      <c r="G184" s="765"/>
      <c r="H184" s="764">
        <f>TRUNC((C184*F184),2)</f>
        <v>0.31</v>
      </c>
      <c r="I184" s="766"/>
    </row>
    <row r="185" spans="1:9" s="84" customFormat="1">
      <c r="A185" s="760" t="s">
        <v>24</v>
      </c>
      <c r="B185" s="762"/>
      <c r="C185" s="376"/>
      <c r="D185" s="373"/>
      <c r="E185" s="373"/>
      <c r="F185" s="377"/>
      <c r="G185" s="377"/>
      <c r="H185" s="764">
        <f>TRUNC((H183+H184),2)</f>
        <v>7.32</v>
      </c>
      <c r="I185" s="766"/>
    </row>
    <row r="186" spans="1:9" s="84" customFormat="1">
      <c r="A186" s="2"/>
      <c r="B186" s="2"/>
      <c r="C186" s="2"/>
      <c r="D186" s="2"/>
      <c r="E186" s="2"/>
      <c r="F186" s="2"/>
      <c r="G186" s="2"/>
      <c r="H186" s="2"/>
      <c r="I186" s="2"/>
    </row>
    <row r="187" spans="1:9" s="84" customFormat="1">
      <c r="A187" s="668" t="s">
        <v>498</v>
      </c>
      <c r="B187" s="669"/>
      <c r="C187" s="669"/>
      <c r="D187" s="669"/>
      <c r="E187" s="669"/>
      <c r="F187" s="669"/>
      <c r="G187" s="669"/>
      <c r="H187" s="669"/>
      <c r="I187" s="669"/>
    </row>
    <row r="188" spans="1:9" s="84" customFormat="1">
      <c r="A188" s="743" t="s">
        <v>110</v>
      </c>
      <c r="B188" s="744"/>
      <c r="C188" s="743" t="s">
        <v>111</v>
      </c>
      <c r="D188" s="745"/>
      <c r="E188" s="744"/>
      <c r="F188" s="746" t="s">
        <v>112</v>
      </c>
      <c r="G188" s="747"/>
      <c r="H188" s="743" t="s">
        <v>113</v>
      </c>
      <c r="I188" s="744"/>
    </row>
    <row r="189" spans="1:9" s="84" customFormat="1">
      <c r="A189" s="748" t="s">
        <v>114</v>
      </c>
      <c r="B189" s="749"/>
      <c r="C189" s="750">
        <f>1/200</f>
        <v>5.0000000000000001E-3</v>
      </c>
      <c r="D189" s="751"/>
      <c r="E189" s="752"/>
      <c r="F189" s="753">
        <f>C151</f>
        <v>5613.8989000000001</v>
      </c>
      <c r="G189" s="752"/>
      <c r="H189" s="753">
        <f>TRUNC((C189*F189),2)</f>
        <v>28.06</v>
      </c>
      <c r="I189" s="754"/>
    </row>
    <row r="190" spans="1:9" s="84" customFormat="1">
      <c r="A190" s="760" t="s">
        <v>511</v>
      </c>
      <c r="B190" s="761"/>
      <c r="C190" s="767">
        <f>1/(30*200)</f>
        <v>1.6666666666666666E-4</v>
      </c>
      <c r="D190" s="768"/>
      <c r="E190" s="769"/>
      <c r="F190" s="764">
        <f>'Supervisor '!I153</f>
        <v>7536.3797000000004</v>
      </c>
      <c r="G190" s="765"/>
      <c r="H190" s="764">
        <f>TRUNC((C190*F190),2)</f>
        <v>1.25</v>
      </c>
      <c r="I190" s="766"/>
    </row>
    <row r="191" spans="1:9" s="84" customFormat="1">
      <c r="A191" s="760" t="s">
        <v>24</v>
      </c>
      <c r="B191" s="762"/>
      <c r="C191" s="376"/>
      <c r="D191" s="373"/>
      <c r="E191" s="373"/>
      <c r="F191" s="377"/>
      <c r="G191" s="377"/>
      <c r="H191" s="764">
        <f>TRUNC((H189+H190),2)</f>
        <v>29.31</v>
      </c>
      <c r="I191" s="766"/>
    </row>
    <row r="192" spans="1:9" s="84" customFormat="1">
      <c r="A192" s="2"/>
      <c r="B192" s="2"/>
      <c r="C192" s="2"/>
      <c r="D192" s="2"/>
      <c r="E192" s="2"/>
      <c r="F192" s="2"/>
      <c r="G192" s="2"/>
      <c r="H192" s="2"/>
      <c r="I192" s="2"/>
    </row>
    <row r="193" spans="1:9" s="84" customFormat="1">
      <c r="A193" s="669" t="s">
        <v>401</v>
      </c>
      <c r="B193" s="669"/>
      <c r="C193" s="669"/>
      <c r="D193" s="669"/>
      <c r="E193" s="669"/>
      <c r="F193" s="669"/>
      <c r="G193" s="669"/>
      <c r="H193" s="669"/>
      <c r="I193" s="669"/>
    </row>
    <row r="194" spans="1:9" s="84" customFormat="1">
      <c r="A194" s="743" t="s">
        <v>110</v>
      </c>
      <c r="B194" s="744"/>
      <c r="C194" s="743" t="s">
        <v>111</v>
      </c>
      <c r="D194" s="745"/>
      <c r="E194" s="744"/>
      <c r="F194" s="746" t="s">
        <v>112</v>
      </c>
      <c r="G194" s="747"/>
      <c r="H194" s="743" t="s">
        <v>113</v>
      </c>
      <c r="I194" s="744"/>
    </row>
    <row r="195" spans="1:9" s="84" customFormat="1">
      <c r="A195" s="748" t="s">
        <v>114</v>
      </c>
      <c r="B195" s="749"/>
      <c r="C195" s="750" t="s">
        <v>499</v>
      </c>
      <c r="D195" s="751"/>
      <c r="E195" s="752"/>
      <c r="F195" s="753" t="s">
        <v>499</v>
      </c>
      <c r="G195" s="752"/>
      <c r="H195" s="753" t="s">
        <v>499</v>
      </c>
      <c r="I195" s="754"/>
    </row>
    <row r="196" spans="1:9" s="84" customFormat="1">
      <c r="A196" s="760" t="s">
        <v>511</v>
      </c>
      <c r="B196" s="761"/>
      <c r="C196" s="767" t="s">
        <v>499</v>
      </c>
      <c r="D196" s="768"/>
      <c r="E196" s="769"/>
      <c r="F196" s="764" t="s">
        <v>499</v>
      </c>
      <c r="G196" s="765"/>
      <c r="H196" s="764" t="s">
        <v>499</v>
      </c>
      <c r="I196" s="766"/>
    </row>
    <row r="197" spans="1:9" s="84" customFormat="1">
      <c r="A197" s="760" t="s">
        <v>24</v>
      </c>
      <c r="B197" s="762"/>
      <c r="C197" s="376"/>
      <c r="D197" s="373"/>
      <c r="E197" s="373"/>
      <c r="F197" s="377"/>
      <c r="G197" s="377"/>
      <c r="H197" s="764"/>
      <c r="I197" s="766"/>
    </row>
    <row r="198" spans="1:9" s="84" customFormat="1">
      <c r="A198" s="2"/>
      <c r="B198" s="2"/>
      <c r="C198" s="2"/>
      <c r="D198" s="2"/>
      <c r="E198" s="2"/>
      <c r="F198" s="2"/>
      <c r="G198" s="2"/>
      <c r="H198" s="2"/>
      <c r="I198" s="2"/>
    </row>
    <row r="199" spans="1:9" s="84" customFormat="1">
      <c r="A199" s="668" t="s">
        <v>500</v>
      </c>
      <c r="B199" s="669"/>
      <c r="C199" s="669"/>
      <c r="D199" s="669"/>
      <c r="E199" s="669"/>
      <c r="F199" s="669"/>
      <c r="G199" s="669"/>
      <c r="H199" s="669"/>
      <c r="I199" s="669"/>
    </row>
    <row r="200" spans="1:9" s="84" customFormat="1" ht="70">
      <c r="A200" s="748" t="s">
        <v>110</v>
      </c>
      <c r="B200" s="749"/>
      <c r="C200" s="68" t="s">
        <v>119</v>
      </c>
      <c r="D200" s="68" t="s">
        <v>120</v>
      </c>
      <c r="E200" s="68" t="s">
        <v>121</v>
      </c>
      <c r="F200" s="68" t="s">
        <v>122</v>
      </c>
      <c r="G200" s="68" t="s">
        <v>123</v>
      </c>
      <c r="H200" s="68" t="s">
        <v>124</v>
      </c>
      <c r="I200" s="119"/>
    </row>
    <row r="201" spans="1:9" s="84" customFormat="1">
      <c r="A201" s="771" t="s">
        <v>114</v>
      </c>
      <c r="B201" s="771"/>
      <c r="C201" s="66">
        <f>1/300</f>
        <v>3.3333333333333335E-3</v>
      </c>
      <c r="D201" s="30">
        <v>16</v>
      </c>
      <c r="E201" s="66">
        <f>1/188.76</f>
        <v>5.2977325704598437E-3</v>
      </c>
      <c r="F201" s="147">
        <f>C201*D201*E201</f>
        <v>2.8254573709119167E-4</v>
      </c>
      <c r="G201" s="29">
        <f>C151</f>
        <v>5613.8989000000001</v>
      </c>
      <c r="H201" s="29">
        <f>TRUNC((F201*G201),2)</f>
        <v>1.58</v>
      </c>
      <c r="I201" s="2"/>
    </row>
    <row r="202" spans="1:9" s="84" customFormat="1">
      <c r="A202" s="760" t="s">
        <v>511</v>
      </c>
      <c r="B202" s="761"/>
      <c r="C202" s="372">
        <f>1/(30*300)</f>
        <v>1.1111111111111112E-4</v>
      </c>
      <c r="D202" s="373">
        <v>16</v>
      </c>
      <c r="E202" s="66">
        <f>1/188.76</f>
        <v>5.2977325704598437E-3</v>
      </c>
      <c r="F202" s="147">
        <f>C202*D202*E202</f>
        <v>9.418191236373056E-6</v>
      </c>
      <c r="G202" s="29">
        <f>'Supervisor '!I153</f>
        <v>7536.3797000000004</v>
      </c>
      <c r="H202" s="29">
        <f>TRUNC((F202*G202),2)</f>
        <v>7.0000000000000007E-2</v>
      </c>
      <c r="I202" s="368"/>
    </row>
    <row r="203" spans="1:9" s="84" customFormat="1">
      <c r="A203" s="760" t="s">
        <v>24</v>
      </c>
      <c r="B203" s="762"/>
      <c r="C203" s="379"/>
      <c r="D203" s="373"/>
      <c r="E203" s="373"/>
      <c r="F203" s="377"/>
      <c r="G203" s="377"/>
      <c r="H203" s="378">
        <f>TRUNC((H201+H202),2)</f>
        <v>1.65</v>
      </c>
      <c r="I203" s="159"/>
    </row>
    <row r="204" spans="1:9" s="84" customFormat="1">
      <c r="A204" s="143"/>
      <c r="B204" s="143"/>
      <c r="C204" s="143"/>
      <c r="D204" s="143"/>
      <c r="E204" s="143"/>
      <c r="F204" s="143"/>
      <c r="G204" s="143"/>
      <c r="H204" s="2"/>
      <c r="I204" s="2"/>
    </row>
    <row r="205" spans="1:9" s="84" customFormat="1">
      <c r="A205" s="67" t="s">
        <v>601</v>
      </c>
      <c r="B205" s="2"/>
      <c r="C205" s="2"/>
      <c r="D205" s="2"/>
      <c r="E205" s="2"/>
      <c r="F205" s="2"/>
      <c r="G205" s="2"/>
      <c r="H205" s="2"/>
      <c r="I205" s="2"/>
    </row>
    <row r="206" spans="1:9" s="84" customFormat="1" ht="70">
      <c r="A206" s="748" t="s">
        <v>110</v>
      </c>
      <c r="B206" s="749"/>
      <c r="C206" s="68" t="s">
        <v>119</v>
      </c>
      <c r="D206" s="68" t="s">
        <v>120</v>
      </c>
      <c r="E206" s="68" t="s">
        <v>121</v>
      </c>
      <c r="F206" s="68" t="s">
        <v>122</v>
      </c>
      <c r="G206" s="68" t="s">
        <v>123</v>
      </c>
      <c r="H206" s="68" t="s">
        <v>124</v>
      </c>
      <c r="I206" s="2"/>
    </row>
    <row r="207" spans="1:9" s="84" customFormat="1">
      <c r="A207" s="771" t="s">
        <v>114</v>
      </c>
      <c r="B207" s="771"/>
      <c r="C207" s="66">
        <f>1/130</f>
        <v>7.6923076923076927E-3</v>
      </c>
      <c r="D207" s="30" t="s">
        <v>499</v>
      </c>
      <c r="E207" s="66">
        <f>1/188.76</f>
        <v>5.2977325704598437E-3</v>
      </c>
      <c r="F207" s="30" t="s">
        <v>499</v>
      </c>
      <c r="G207" s="29">
        <f>C151</f>
        <v>5613.8989000000001</v>
      </c>
      <c r="H207" s="30" t="s">
        <v>499</v>
      </c>
      <c r="I207" s="2"/>
    </row>
    <row r="208" spans="1:9" s="84" customFormat="1">
      <c r="A208" s="760" t="s">
        <v>511</v>
      </c>
      <c r="B208" s="761"/>
      <c r="C208" s="372">
        <f>1/(4*300)</f>
        <v>8.3333333333333339E-4</v>
      </c>
      <c r="D208" s="30" t="s">
        <v>499</v>
      </c>
      <c r="E208" s="66">
        <f>1/188.76</f>
        <v>5.2977325704598437E-3</v>
      </c>
      <c r="F208" s="30" t="s">
        <v>499</v>
      </c>
      <c r="G208" s="374">
        <f>'Supervisor '!I153</f>
        <v>7536.3797000000004</v>
      </c>
      <c r="H208" s="30" t="s">
        <v>499</v>
      </c>
      <c r="I208" s="2"/>
    </row>
    <row r="209" spans="1:9" s="84" customFormat="1">
      <c r="A209" s="760" t="s">
        <v>24</v>
      </c>
      <c r="B209" s="761"/>
      <c r="C209" s="376"/>
      <c r="D209" s="373"/>
      <c r="E209" s="373"/>
      <c r="F209" s="377"/>
      <c r="G209" s="377"/>
      <c r="H209" s="378"/>
      <c r="I209" s="2"/>
    </row>
    <row r="210" spans="1:9" s="84" customFormat="1">
      <c r="A210" s="2"/>
      <c r="B210" s="2"/>
      <c r="C210" s="2"/>
      <c r="D210" s="2"/>
      <c r="E210" s="2"/>
      <c r="F210" s="2"/>
      <c r="G210" s="2"/>
      <c r="H210" s="2"/>
      <c r="I210" s="2"/>
    </row>
    <row r="211" spans="1:9" s="84" customFormat="1">
      <c r="A211" s="772" t="s">
        <v>115</v>
      </c>
      <c r="B211" s="773"/>
      <c r="C211" s="773"/>
      <c r="D211" s="773"/>
      <c r="E211" s="773"/>
      <c r="F211" s="773"/>
      <c r="G211" s="773"/>
      <c r="H211" s="773"/>
      <c r="I211" s="774"/>
    </row>
    <row r="212" spans="1:9" s="84" customFormat="1">
      <c r="A212" s="743" t="s">
        <v>117</v>
      </c>
      <c r="B212" s="745"/>
      <c r="C212" s="745"/>
      <c r="D212" s="744"/>
      <c r="E212" s="746" t="s">
        <v>116</v>
      </c>
      <c r="F212" s="770"/>
      <c r="G212" s="747"/>
      <c r="H212" s="9" t="s">
        <v>118</v>
      </c>
      <c r="I212" s="9" t="s">
        <v>107</v>
      </c>
    </row>
    <row r="213" spans="1:9" s="84" customFormat="1">
      <c r="A213" s="671" t="s">
        <v>504</v>
      </c>
      <c r="B213" s="672"/>
      <c r="C213" s="672"/>
      <c r="D213" s="673"/>
      <c r="E213" s="753">
        <f>H185</f>
        <v>7.32</v>
      </c>
      <c r="F213" s="751"/>
      <c r="G213" s="752"/>
      <c r="H213" s="22">
        <f>'Limpeza - Imóveis'!U8-'Limpeza - Imóveis'!D8</f>
        <v>1436.07</v>
      </c>
      <c r="I213" s="29">
        <f>E213*H213</f>
        <v>10512.0324</v>
      </c>
    </row>
    <row r="214" spans="1:9" s="84" customFormat="1">
      <c r="A214" s="671" t="s">
        <v>505</v>
      </c>
      <c r="B214" s="672"/>
      <c r="C214" s="672"/>
      <c r="D214" s="673"/>
      <c r="E214" s="753">
        <f>H191</f>
        <v>29.31</v>
      </c>
      <c r="F214" s="763"/>
      <c r="G214" s="754"/>
      <c r="H214" s="22">
        <f>'Limpeza - Imóveis'!D8</f>
        <v>34.5</v>
      </c>
      <c r="I214" s="29">
        <f>E214*H214</f>
        <v>1011.1949999999999</v>
      </c>
    </row>
    <row r="215" spans="1:9" s="84" customFormat="1">
      <c r="A215" s="671" t="s">
        <v>506</v>
      </c>
      <c r="B215" s="672"/>
      <c r="C215" s="672"/>
      <c r="D215" s="673"/>
      <c r="E215" s="753">
        <f>H197</f>
        <v>0</v>
      </c>
      <c r="F215" s="751"/>
      <c r="G215" s="752"/>
      <c r="H215" s="29">
        <f t="shared" ref="H215:I219" si="0">D215*G215</f>
        <v>0</v>
      </c>
      <c r="I215" s="29">
        <f t="shared" si="0"/>
        <v>0</v>
      </c>
    </row>
    <row r="216" spans="1:9" s="84" customFormat="1">
      <c r="A216" s="671" t="s">
        <v>589</v>
      </c>
      <c r="B216" s="672"/>
      <c r="C216" s="672"/>
      <c r="D216" s="673"/>
      <c r="E216" s="753">
        <f>H203</f>
        <v>1.65</v>
      </c>
      <c r="F216" s="751"/>
      <c r="G216" s="752"/>
      <c r="H216" s="22">
        <f>'Limpeza - Imóveis'!AA8+'Limpeza - Imóveis'!AB8</f>
        <v>304.62350000000004</v>
      </c>
      <c r="I216" s="29">
        <f t="shared" si="0"/>
        <v>502.62877500000002</v>
      </c>
    </row>
    <row r="217" spans="1:9" s="84" customFormat="1">
      <c r="A217" s="671" t="s">
        <v>590</v>
      </c>
      <c r="B217" s="672"/>
      <c r="C217" s="672"/>
      <c r="D217" s="673"/>
      <c r="E217" s="753">
        <f>H209</f>
        <v>0</v>
      </c>
      <c r="F217" s="763"/>
      <c r="G217" s="754"/>
      <c r="H217" s="29">
        <f t="shared" si="0"/>
        <v>0</v>
      </c>
      <c r="I217" s="29">
        <f t="shared" si="0"/>
        <v>0</v>
      </c>
    </row>
    <row r="218" spans="1:9" s="84" customFormat="1">
      <c r="A218" s="671" t="s">
        <v>593</v>
      </c>
      <c r="B218" s="672"/>
      <c r="C218" s="672"/>
      <c r="D218" s="673"/>
      <c r="E218" s="753">
        <f>H209</f>
        <v>0</v>
      </c>
      <c r="F218" s="763"/>
      <c r="G218" s="754"/>
      <c r="H218" s="29">
        <f t="shared" si="0"/>
        <v>0</v>
      </c>
      <c r="I218" s="29">
        <f t="shared" si="0"/>
        <v>0</v>
      </c>
    </row>
    <row r="219" spans="1:9" s="84" customFormat="1">
      <c r="A219" s="671" t="s">
        <v>502</v>
      </c>
      <c r="B219" s="672"/>
      <c r="C219" s="672"/>
      <c r="D219" s="673"/>
      <c r="E219" s="753">
        <f>H211</f>
        <v>0</v>
      </c>
      <c r="F219" s="763"/>
      <c r="G219" s="754"/>
      <c r="H219" s="29">
        <f t="shared" si="0"/>
        <v>0</v>
      </c>
      <c r="I219" s="29">
        <f>E219*H219</f>
        <v>0</v>
      </c>
    </row>
    <row r="220" spans="1:9" s="84" customFormat="1">
      <c r="A220" s="684" t="s">
        <v>24</v>
      </c>
      <c r="B220" s="685"/>
      <c r="C220" s="685"/>
      <c r="D220" s="685"/>
      <c r="E220" s="685"/>
      <c r="F220" s="685"/>
      <c r="G220" s="686"/>
      <c r="H220" s="121"/>
      <c r="I220" s="10">
        <f>TRUNC(SUM(I213:I219),4)</f>
        <v>12025.856100000001</v>
      </c>
    </row>
    <row r="221" spans="1:9" s="84" customFormat="1"/>
    <row r="222" spans="1:9" s="84" customFormat="1"/>
    <row r="223" spans="1:9" s="84" customFormat="1"/>
    <row r="224" spans="1:9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  <row r="371" s="84" customFormat="1"/>
    <row r="372" s="84" customFormat="1"/>
    <row r="373" s="84" customFormat="1"/>
    <row r="374" s="84" customFormat="1"/>
    <row r="375" s="84" customFormat="1"/>
    <row r="376" s="84" customFormat="1"/>
    <row r="377" s="84" customFormat="1"/>
  </sheetData>
  <mergeCells count="230">
    <mergeCell ref="B171:H171"/>
    <mergeCell ref="B174:G174"/>
    <mergeCell ref="B175:G175"/>
    <mergeCell ref="A177:I177"/>
    <mergeCell ref="A157:D157"/>
    <mergeCell ref="F157:I157"/>
    <mergeCell ref="A158:D158"/>
    <mergeCell ref="F158:I158"/>
    <mergeCell ref="A169:I169"/>
    <mergeCell ref="B170:I170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:I1"/>
    <mergeCell ref="A6:I6"/>
    <mergeCell ref="A8:I8"/>
    <mergeCell ref="B9:H9"/>
    <mergeCell ref="B10:H10"/>
    <mergeCell ref="B11:H11"/>
    <mergeCell ref="A180:I180"/>
    <mergeCell ref="A181:I181"/>
    <mergeCell ref="A182:B182"/>
    <mergeCell ref="C182:E182"/>
    <mergeCell ref="F182:G182"/>
    <mergeCell ref="H182:I182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A183:B183"/>
    <mergeCell ref="C183:E183"/>
    <mergeCell ref="F183:G183"/>
    <mergeCell ref="H183:I183"/>
    <mergeCell ref="A184:B184"/>
    <mergeCell ref="C184:E184"/>
    <mergeCell ref="F184:G184"/>
    <mergeCell ref="H184:I184"/>
    <mergeCell ref="A185:B185"/>
    <mergeCell ref="H185:I185"/>
    <mergeCell ref="A187:I187"/>
    <mergeCell ref="A188:B188"/>
    <mergeCell ref="C188:E188"/>
    <mergeCell ref="F188:G188"/>
    <mergeCell ref="H188:I188"/>
    <mergeCell ref="A189:B189"/>
    <mergeCell ref="C189:E189"/>
    <mergeCell ref="F189:G189"/>
    <mergeCell ref="H189:I189"/>
    <mergeCell ref="A190:B190"/>
    <mergeCell ref="C190:E190"/>
    <mergeCell ref="F190:G190"/>
    <mergeCell ref="H190:I190"/>
    <mergeCell ref="A191:B191"/>
    <mergeCell ref="H191:I191"/>
    <mergeCell ref="A193:I193"/>
    <mergeCell ref="A194:B194"/>
    <mergeCell ref="C194:E194"/>
    <mergeCell ref="F194:G194"/>
    <mergeCell ref="H194:I194"/>
    <mergeCell ref="A195:B195"/>
    <mergeCell ref="C195:E195"/>
    <mergeCell ref="F195:G195"/>
    <mergeCell ref="H195:I195"/>
    <mergeCell ref="A196:B196"/>
    <mergeCell ref="C196:E196"/>
    <mergeCell ref="F196:G196"/>
    <mergeCell ref="H196:I196"/>
    <mergeCell ref="A197:B197"/>
    <mergeCell ref="H197:I197"/>
    <mergeCell ref="A199:I199"/>
    <mergeCell ref="A200:B200"/>
    <mergeCell ref="A201:B201"/>
    <mergeCell ref="A202:B202"/>
    <mergeCell ref="A203:B203"/>
    <mergeCell ref="A206:B206"/>
    <mergeCell ref="A207:B207"/>
    <mergeCell ref="A208:B208"/>
    <mergeCell ref="A209:B209"/>
    <mergeCell ref="A211:I211"/>
    <mergeCell ref="A212:D212"/>
    <mergeCell ref="E212:G212"/>
    <mergeCell ref="A213:D213"/>
    <mergeCell ref="E213:G213"/>
    <mergeCell ref="A214:D214"/>
    <mergeCell ref="E214:G214"/>
    <mergeCell ref="A215:D215"/>
    <mergeCell ref="E215:G215"/>
    <mergeCell ref="A216:D216"/>
    <mergeCell ref="E216:G216"/>
    <mergeCell ref="A217:D217"/>
    <mergeCell ref="E217:G217"/>
    <mergeCell ref="A218:D218"/>
    <mergeCell ref="E218:G218"/>
    <mergeCell ref="A219:D219"/>
    <mergeCell ref="E219:G219"/>
    <mergeCell ref="A220:G220"/>
  </mergeCells>
  <printOptions horizontalCentered="1"/>
  <pageMargins left="0.39370078740157483" right="0.39370078740157483" top="0.59055118110236227" bottom="0.59055118110236227" header="0.15748031496062992" footer="0.15748031496062992"/>
  <pageSetup paperSize="9" scale="55" firstPageNumber="0" orientation="portrait" verticalDpi="300" r:id="rId1"/>
  <headerFooter alignWithMargins="0"/>
  <rowBreaks count="2" manualBreakCount="2">
    <brk id="91" max="9" man="1"/>
    <brk id="167" max="9" man="1"/>
  </rowBreaks>
  <ignoredErrors>
    <ignoredError sqref="H216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Z528"/>
  <sheetViews>
    <sheetView view="pageBreakPreview" topLeftCell="A198" zoomScale="77" zoomScaleNormal="96" zoomScaleSheetLayoutView="77" workbookViewId="0">
      <selection activeCell="A205" sqref="A205"/>
    </sheetView>
  </sheetViews>
  <sheetFormatPr defaultColWidth="9.1796875" defaultRowHeight="14"/>
  <cols>
    <col min="1" max="1" width="14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0.453125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9.453125" style="2" customWidth="1"/>
    <col min="10" max="10" width="9.453125" style="84" bestFit="1" customWidth="1"/>
    <col min="11" max="26" width="9.1796875" style="84"/>
    <col min="27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346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</row>
    <row r="24" spans="1: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(I25)</f>
        <v>1764</v>
      </c>
    </row>
    <row r="32" spans="1:9">
      <c r="A32" s="9" t="s">
        <v>12</v>
      </c>
      <c r="B32" s="645" t="s">
        <v>313</v>
      </c>
      <c r="C32" s="645"/>
      <c r="D32" s="645"/>
      <c r="E32" s="645"/>
      <c r="F32" s="645"/>
      <c r="G32" s="645"/>
      <c r="H32" s="311"/>
      <c r="I32" s="29">
        <v>122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4.8</v>
      </c>
      <c r="I61" s="70">
        <f>C166</f>
        <v>105.35999999999999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0" t="s">
        <v>147</v>
      </c>
      <c r="C68" s="660"/>
      <c r="D68" s="660"/>
      <c r="E68" s="660"/>
      <c r="F68" s="660"/>
      <c r="G68" s="660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295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296</v>
      </c>
      <c r="C71" s="661"/>
      <c r="D71" s="661"/>
      <c r="E71" s="661"/>
      <c r="F71" s="661"/>
      <c r="G71" s="661"/>
      <c r="H71" s="71">
        <v>0</v>
      </c>
      <c r="I71" s="70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892.85919999999999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892.85919999999999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1873.5505000000001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323.68808333333334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86.316822222222243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1.3817493321146668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0.71211378333333342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5.543844770116225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417.64260000000002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417.64260000000002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417.64260000000002</v>
      </c>
    </row>
    <row r="113" spans="1:10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10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10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10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10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10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10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/>
    </row>
    <row r="120" spans="1:10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10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10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10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  <c r="J123" s="83"/>
    </row>
    <row r="124" spans="1:10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225.75</v>
      </c>
    </row>
    <row r="125" spans="1:10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321.89999999999998</v>
      </c>
    </row>
    <row r="126" spans="1:10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10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10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35.064190090570058</v>
      </c>
    </row>
    <row r="129" spans="1:11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161.83472349493871</v>
      </c>
    </row>
    <row r="130" spans="1:11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11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11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11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11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11">
      <c r="A135" s="9"/>
      <c r="B135" s="645" t="s">
        <v>153</v>
      </c>
      <c r="C135" s="645"/>
      <c r="D135" s="645"/>
      <c r="E135" s="645"/>
      <c r="F135" s="645"/>
      <c r="G135" s="645"/>
      <c r="H135" s="179">
        <v>2.5000000000000001E-2</v>
      </c>
      <c r="I135" s="209">
        <f>(I145+I124+I125)/(1-SUM(E128:H135))*H135</f>
        <v>134.8622695791156</v>
      </c>
      <c r="J135" s="2"/>
      <c r="K135" s="2"/>
    </row>
    <row r="136" spans="1:11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0.1794</v>
      </c>
      <c r="I136" s="10">
        <f>TRUNC(SUM(I124:I135),4)</f>
        <v>879.41110000000003</v>
      </c>
    </row>
    <row r="137" spans="1:11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11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11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11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</row>
    <row r="141" spans="1:11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1873.5505000000001</v>
      </c>
    </row>
    <row r="142" spans="1:11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</row>
    <row r="143" spans="1:11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417.64260000000002</v>
      </c>
    </row>
    <row r="144" spans="1:11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4515.0796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879.41110000000003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5394.4907000000003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60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Limpeza</v>
      </c>
      <c r="B151" s="682"/>
      <c r="C151" s="683">
        <f>(I147)</f>
        <v>5394.4907000000003</v>
      </c>
      <c r="D151" s="683"/>
      <c r="E151" s="72">
        <v>1</v>
      </c>
      <c r="F151" s="683">
        <f>(I147)</f>
        <v>5394.4907000000003</v>
      </c>
      <c r="G151" s="683"/>
      <c r="H151" s="72">
        <v>1</v>
      </c>
      <c r="I151" s="141">
        <f>F151*H151</f>
        <v>5394.4907000000003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5394.4907000000003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64733.888400000003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4.8</v>
      </c>
      <c r="B160" s="182">
        <v>1</v>
      </c>
      <c r="C160" s="182">
        <v>44</v>
      </c>
      <c r="D160" s="38">
        <f>A160*B160*C160</f>
        <v>211.2</v>
      </c>
      <c r="E160" s="32"/>
      <c r="F160" s="203">
        <v>26.833300000000001</v>
      </c>
      <c r="G160" s="34">
        <v>1</v>
      </c>
      <c r="H160" s="34">
        <v>30</v>
      </c>
      <c r="I160" s="97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211.2</v>
      </c>
      <c r="B166" s="50">
        <f>C163</f>
        <v>105.84</v>
      </c>
      <c r="C166" s="51">
        <f>A166-B166</f>
        <v>105.35999999999999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>
      <c r="A167" s="32"/>
      <c r="B167" s="32"/>
      <c r="C167" s="32"/>
      <c r="D167" s="32"/>
      <c r="E167" s="32"/>
      <c r="F167" s="32"/>
      <c r="G167" s="32"/>
      <c r="H167" s="32"/>
      <c r="I167" s="32"/>
    </row>
    <row r="169" spans="1:9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9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9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</row>
    <row r="172" spans="1:9">
      <c r="A172" s="59" t="s">
        <v>11</v>
      </c>
      <c r="B172" s="219" t="s">
        <v>403</v>
      </c>
      <c r="C172" s="220"/>
      <c r="D172" s="220"/>
      <c r="E172" s="220"/>
      <c r="F172" s="220"/>
      <c r="G172" s="220"/>
      <c r="H172" s="129"/>
      <c r="I172" s="130">
        <f>I220</f>
        <v>7547.0012999999999</v>
      </c>
    </row>
    <row r="173" spans="1:9">
      <c r="A173" s="125" t="s">
        <v>12</v>
      </c>
      <c r="B173" s="222" t="s">
        <v>97</v>
      </c>
      <c r="C173" s="223"/>
      <c r="D173" s="223"/>
      <c r="E173" s="223"/>
      <c r="F173" s="223"/>
      <c r="G173" s="223"/>
      <c r="H173" s="63"/>
      <c r="I173" s="126"/>
    </row>
    <row r="174" spans="1:9" ht="15" customHeight="1">
      <c r="A174" s="60" t="s">
        <v>13</v>
      </c>
      <c r="B174" s="775" t="s">
        <v>501</v>
      </c>
      <c r="C174" s="776"/>
      <c r="D174" s="776"/>
      <c r="E174" s="776"/>
      <c r="F174" s="776"/>
      <c r="G174" s="776"/>
      <c r="H174" s="63"/>
      <c r="I174" s="122">
        <f>I152</f>
        <v>0</v>
      </c>
    </row>
    <row r="175" spans="1:9" ht="15.75" customHeight="1" thickBot="1">
      <c r="A175" s="64"/>
      <c r="B175" s="777" t="s">
        <v>404</v>
      </c>
      <c r="C175" s="778"/>
      <c r="D175" s="778"/>
      <c r="E175" s="778"/>
      <c r="F175" s="778"/>
      <c r="G175" s="778"/>
      <c r="H175" s="65"/>
      <c r="I175" s="131">
        <f>TRUNC(((I172+I174)*12),4)</f>
        <v>90564.015599999999</v>
      </c>
    </row>
    <row r="176" spans="1:9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9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9">
      <c r="A178" s="118"/>
      <c r="B178" s="118"/>
      <c r="C178" s="118"/>
      <c r="D178" s="118"/>
      <c r="E178" s="118"/>
      <c r="F178" s="118"/>
      <c r="G178" s="118"/>
      <c r="H178" s="118"/>
      <c r="I178" s="118"/>
    </row>
    <row r="179" spans="1:9" s="84" customFormat="1">
      <c r="A179" s="67" t="s">
        <v>109</v>
      </c>
      <c r="B179" s="2"/>
      <c r="C179" s="2"/>
      <c r="D179" s="2"/>
      <c r="E179" s="2"/>
      <c r="F179" s="2"/>
      <c r="G179" s="2"/>
      <c r="H179" s="2"/>
      <c r="I179" s="2"/>
    </row>
    <row r="180" spans="1:9" s="84" customFormat="1">
      <c r="A180" s="669"/>
      <c r="B180" s="669"/>
      <c r="C180" s="669"/>
      <c r="D180" s="669"/>
      <c r="E180" s="669"/>
      <c r="F180" s="669"/>
      <c r="G180" s="669"/>
      <c r="H180" s="669"/>
      <c r="I180" s="669"/>
    </row>
    <row r="181" spans="1:9" s="84" customFormat="1">
      <c r="A181" s="669" t="s">
        <v>402</v>
      </c>
      <c r="B181" s="669"/>
      <c r="C181" s="669"/>
      <c r="D181" s="669"/>
      <c r="E181" s="669"/>
      <c r="F181" s="669"/>
      <c r="G181" s="669"/>
      <c r="H181" s="669"/>
      <c r="I181" s="669"/>
    </row>
    <row r="182" spans="1:9" s="84" customFormat="1">
      <c r="A182" s="743" t="s">
        <v>110</v>
      </c>
      <c r="B182" s="744"/>
      <c r="C182" s="743" t="s">
        <v>111</v>
      </c>
      <c r="D182" s="745"/>
      <c r="E182" s="744"/>
      <c r="F182" s="746" t="s">
        <v>112</v>
      </c>
      <c r="G182" s="747"/>
      <c r="H182" s="743" t="s">
        <v>113</v>
      </c>
      <c r="I182" s="744"/>
    </row>
    <row r="183" spans="1:9" s="84" customFormat="1">
      <c r="A183" s="748" t="s">
        <v>114</v>
      </c>
      <c r="B183" s="749"/>
      <c r="C183" s="750">
        <f>1/800</f>
        <v>1.25E-3</v>
      </c>
      <c r="D183" s="751"/>
      <c r="E183" s="752"/>
      <c r="F183" s="753">
        <f>C151</f>
        <v>5394.4907000000003</v>
      </c>
      <c r="G183" s="752"/>
      <c r="H183" s="753">
        <f>TRUNC((C183*F183),2)</f>
        <v>6.74</v>
      </c>
      <c r="I183" s="754"/>
    </row>
    <row r="184" spans="1:9" s="84" customFormat="1">
      <c r="A184" s="760" t="s">
        <v>511</v>
      </c>
      <c r="B184" s="761"/>
      <c r="C184" s="767">
        <f>1/(30*800)</f>
        <v>4.1666666666666665E-5</v>
      </c>
      <c r="D184" s="768"/>
      <c r="E184" s="769"/>
      <c r="F184" s="764">
        <f>'Supervisor '!I153</f>
        <v>7536.3797000000004</v>
      </c>
      <c r="G184" s="765"/>
      <c r="H184" s="764">
        <f>TRUNC((C184*F184),2)</f>
        <v>0.31</v>
      </c>
      <c r="I184" s="766"/>
    </row>
    <row r="185" spans="1:9" s="84" customFormat="1">
      <c r="A185" s="760" t="s">
        <v>24</v>
      </c>
      <c r="B185" s="762"/>
      <c r="C185" s="376"/>
      <c r="D185" s="373"/>
      <c r="E185" s="373"/>
      <c r="F185" s="377"/>
      <c r="G185" s="377"/>
      <c r="H185" s="764">
        <f>TRUNC((H183+H184),2)</f>
        <v>7.05</v>
      </c>
      <c r="I185" s="766"/>
    </row>
    <row r="186" spans="1:9" s="84" customFormat="1">
      <c r="A186" s="2"/>
      <c r="B186" s="2"/>
      <c r="C186" s="2"/>
      <c r="D186" s="2"/>
      <c r="E186" s="2"/>
      <c r="F186" s="2"/>
      <c r="G186" s="2"/>
      <c r="H186" s="2"/>
      <c r="I186" s="2"/>
    </row>
    <row r="187" spans="1:9" s="84" customFormat="1">
      <c r="A187" s="668" t="s">
        <v>498</v>
      </c>
      <c r="B187" s="669"/>
      <c r="C187" s="669"/>
      <c r="D187" s="669"/>
      <c r="E187" s="669"/>
      <c r="F187" s="669"/>
      <c r="G187" s="669"/>
      <c r="H187" s="669"/>
      <c r="I187" s="669"/>
    </row>
    <row r="188" spans="1:9" s="84" customFormat="1">
      <c r="A188" s="743" t="s">
        <v>110</v>
      </c>
      <c r="B188" s="744"/>
      <c r="C188" s="743" t="s">
        <v>111</v>
      </c>
      <c r="D188" s="745"/>
      <c r="E188" s="744"/>
      <c r="F188" s="746" t="s">
        <v>112</v>
      </c>
      <c r="G188" s="747"/>
      <c r="H188" s="743" t="s">
        <v>113</v>
      </c>
      <c r="I188" s="744"/>
    </row>
    <row r="189" spans="1:9" s="84" customFormat="1">
      <c r="A189" s="748" t="s">
        <v>114</v>
      </c>
      <c r="B189" s="749"/>
      <c r="C189" s="750">
        <f>1/200</f>
        <v>5.0000000000000001E-3</v>
      </c>
      <c r="D189" s="751"/>
      <c r="E189" s="752"/>
      <c r="F189" s="753">
        <f>C151</f>
        <v>5394.4907000000003</v>
      </c>
      <c r="G189" s="752"/>
      <c r="H189" s="753">
        <f>TRUNC((C189*F189),2)</f>
        <v>26.97</v>
      </c>
      <c r="I189" s="754"/>
    </row>
    <row r="190" spans="1:9" s="84" customFormat="1">
      <c r="A190" s="760" t="s">
        <v>511</v>
      </c>
      <c r="B190" s="761"/>
      <c r="C190" s="767">
        <f>1/(30*200)</f>
        <v>1.6666666666666666E-4</v>
      </c>
      <c r="D190" s="768"/>
      <c r="E190" s="769"/>
      <c r="F190" s="764">
        <f>'Supervisor '!I153</f>
        <v>7536.3797000000004</v>
      </c>
      <c r="G190" s="765"/>
      <c r="H190" s="764">
        <f>TRUNC((C190*F190),2)</f>
        <v>1.25</v>
      </c>
      <c r="I190" s="766"/>
    </row>
    <row r="191" spans="1:9" s="84" customFormat="1">
      <c r="A191" s="760" t="s">
        <v>24</v>
      </c>
      <c r="B191" s="762"/>
      <c r="C191" s="376"/>
      <c r="D191" s="373"/>
      <c r="E191" s="373"/>
      <c r="F191" s="377"/>
      <c r="G191" s="377"/>
      <c r="H191" s="764">
        <f>TRUNC((H189+H190),2)</f>
        <v>28.22</v>
      </c>
      <c r="I191" s="766"/>
    </row>
    <row r="192" spans="1:9" s="84" customFormat="1">
      <c r="A192" s="2"/>
      <c r="B192" s="2"/>
      <c r="C192" s="2"/>
      <c r="D192" s="2"/>
      <c r="E192" s="2"/>
      <c r="F192" s="2"/>
      <c r="G192" s="2"/>
      <c r="H192" s="2"/>
      <c r="I192" s="2"/>
    </row>
    <row r="193" spans="1:9" s="84" customFormat="1">
      <c r="A193" s="669" t="s">
        <v>401</v>
      </c>
      <c r="B193" s="669"/>
      <c r="C193" s="669"/>
      <c r="D193" s="669"/>
      <c r="E193" s="669"/>
      <c r="F193" s="669"/>
      <c r="G193" s="669"/>
      <c r="H193" s="669"/>
      <c r="I193" s="669"/>
    </row>
    <row r="194" spans="1:9" s="84" customFormat="1">
      <c r="A194" s="743" t="s">
        <v>110</v>
      </c>
      <c r="B194" s="744"/>
      <c r="C194" s="743" t="s">
        <v>111</v>
      </c>
      <c r="D194" s="745"/>
      <c r="E194" s="744"/>
      <c r="F194" s="746" t="s">
        <v>112</v>
      </c>
      <c r="G194" s="747"/>
      <c r="H194" s="743" t="s">
        <v>113</v>
      </c>
      <c r="I194" s="744"/>
    </row>
    <row r="195" spans="1:9" s="84" customFormat="1">
      <c r="A195" s="748" t="s">
        <v>114</v>
      </c>
      <c r="B195" s="749"/>
      <c r="C195" s="750">
        <f>1/1800</f>
        <v>5.5555555555555556E-4</v>
      </c>
      <c r="D195" s="751"/>
      <c r="E195" s="752"/>
      <c r="F195" s="753">
        <f>C151</f>
        <v>5394.4907000000003</v>
      </c>
      <c r="G195" s="752"/>
      <c r="H195" s="753">
        <f>TRUNC((C195*F195),2)</f>
        <v>2.99</v>
      </c>
      <c r="I195" s="754"/>
    </row>
    <row r="196" spans="1:9" s="84" customFormat="1">
      <c r="A196" s="760" t="s">
        <v>511</v>
      </c>
      <c r="B196" s="761"/>
      <c r="C196" s="767">
        <f>1/(30*1800)</f>
        <v>1.8518518518518518E-5</v>
      </c>
      <c r="D196" s="768"/>
      <c r="E196" s="769"/>
      <c r="F196" s="764">
        <f>'Supervisor '!I153</f>
        <v>7536.3797000000004</v>
      </c>
      <c r="G196" s="765"/>
      <c r="H196" s="764">
        <f>TRUNC((C196*F196),2)</f>
        <v>0.13</v>
      </c>
      <c r="I196" s="766"/>
    </row>
    <row r="197" spans="1:9" s="84" customFormat="1">
      <c r="A197" s="760" t="s">
        <v>24</v>
      </c>
      <c r="B197" s="762"/>
      <c r="C197" s="376"/>
      <c r="D197" s="373"/>
      <c r="E197" s="373"/>
      <c r="F197" s="377"/>
      <c r="G197" s="377"/>
      <c r="H197" s="764">
        <f>TRUNC((H195+H196),2)</f>
        <v>3.12</v>
      </c>
      <c r="I197" s="766"/>
    </row>
    <row r="198" spans="1:9" s="84" customFormat="1">
      <c r="A198" s="2"/>
      <c r="B198" s="2"/>
      <c r="C198" s="2"/>
      <c r="D198" s="2"/>
      <c r="E198" s="2"/>
      <c r="F198" s="2"/>
      <c r="G198" s="2"/>
      <c r="H198" s="2"/>
      <c r="I198" s="2"/>
    </row>
    <row r="199" spans="1:9" s="84" customFormat="1">
      <c r="A199" s="668" t="s">
        <v>500</v>
      </c>
      <c r="B199" s="669"/>
      <c r="C199" s="669"/>
      <c r="D199" s="669"/>
      <c r="E199" s="669"/>
      <c r="F199" s="669"/>
      <c r="G199" s="669"/>
      <c r="H199" s="669"/>
      <c r="I199" s="669"/>
    </row>
    <row r="200" spans="1:9" s="84" customFormat="1" ht="84">
      <c r="A200" s="748" t="s">
        <v>110</v>
      </c>
      <c r="B200" s="749"/>
      <c r="C200" s="68" t="s">
        <v>119</v>
      </c>
      <c r="D200" s="68" t="s">
        <v>120</v>
      </c>
      <c r="E200" s="68" t="s">
        <v>121</v>
      </c>
      <c r="F200" s="68" t="s">
        <v>122</v>
      </c>
      <c r="G200" s="68" t="s">
        <v>123</v>
      </c>
      <c r="H200" s="68" t="s">
        <v>124</v>
      </c>
      <c r="I200" s="119"/>
    </row>
    <row r="201" spans="1:9" s="84" customFormat="1">
      <c r="A201" s="771" t="s">
        <v>114</v>
      </c>
      <c r="B201" s="771"/>
      <c r="C201" s="66">
        <f>1/300</f>
        <v>3.3333333333333335E-3</v>
      </c>
      <c r="D201" s="30">
        <v>16</v>
      </c>
      <c r="E201" s="66">
        <f>1/188.76</f>
        <v>5.2977325704598437E-3</v>
      </c>
      <c r="F201" s="147">
        <f>C201*D201*E201</f>
        <v>2.8254573709119167E-4</v>
      </c>
      <c r="G201" s="29">
        <f>C151</f>
        <v>5394.4907000000003</v>
      </c>
      <c r="H201" s="29">
        <f>TRUNC((F201*G201),2)</f>
        <v>1.52</v>
      </c>
      <c r="I201" s="2"/>
    </row>
    <row r="202" spans="1:9" s="84" customFormat="1">
      <c r="A202" s="760" t="s">
        <v>511</v>
      </c>
      <c r="B202" s="761"/>
      <c r="C202" s="372">
        <f>1/(30*300)</f>
        <v>1.1111111111111112E-4</v>
      </c>
      <c r="D202" s="373">
        <v>16</v>
      </c>
      <c r="E202" s="66">
        <f>1/188.76</f>
        <v>5.2977325704598437E-3</v>
      </c>
      <c r="F202" s="147">
        <f>C202*D202*E202</f>
        <v>9.418191236373056E-6</v>
      </c>
      <c r="G202" s="29">
        <f>'Supervisor '!I153</f>
        <v>7536.3797000000004</v>
      </c>
      <c r="H202" s="29">
        <f>TRUNC((F202*G202),2)</f>
        <v>7.0000000000000007E-2</v>
      </c>
      <c r="I202" s="368"/>
    </row>
    <row r="203" spans="1:9" s="84" customFormat="1">
      <c r="A203" s="760" t="s">
        <v>24</v>
      </c>
      <c r="B203" s="762"/>
      <c r="C203" s="379"/>
      <c r="D203" s="373"/>
      <c r="E203" s="373"/>
      <c r="F203" s="377"/>
      <c r="G203" s="377"/>
      <c r="H203" s="378">
        <f>TRUNC((H201+H202),2)</f>
        <v>1.59</v>
      </c>
      <c r="I203" s="159"/>
    </row>
    <row r="204" spans="1:9" s="84" customFormat="1">
      <c r="A204" s="143"/>
      <c r="B204" s="143"/>
      <c r="C204" s="143"/>
      <c r="D204" s="143"/>
      <c r="E204" s="143"/>
      <c r="F204" s="143"/>
      <c r="G204" s="143"/>
      <c r="H204" s="2"/>
      <c r="I204" s="2"/>
    </row>
    <row r="205" spans="1:9" s="84" customFormat="1">
      <c r="A205" s="67" t="s">
        <v>592</v>
      </c>
      <c r="B205" s="2"/>
      <c r="C205" s="2"/>
      <c r="D205" s="2"/>
      <c r="E205" s="2"/>
      <c r="F205" s="2"/>
      <c r="G205" s="2"/>
      <c r="H205" s="2"/>
      <c r="I205" s="2"/>
    </row>
    <row r="206" spans="1:9" s="84" customFormat="1" ht="84">
      <c r="A206" s="748" t="s">
        <v>110</v>
      </c>
      <c r="B206" s="749"/>
      <c r="C206" s="68" t="s">
        <v>119</v>
      </c>
      <c r="D206" s="68" t="s">
        <v>120</v>
      </c>
      <c r="E206" s="68" t="s">
        <v>121</v>
      </c>
      <c r="F206" s="68" t="s">
        <v>122</v>
      </c>
      <c r="G206" s="68" t="s">
        <v>123</v>
      </c>
      <c r="H206" s="68" t="s">
        <v>124</v>
      </c>
      <c r="I206" s="2"/>
    </row>
    <row r="207" spans="1:9" s="84" customFormat="1">
      <c r="A207" s="771" t="s">
        <v>114</v>
      </c>
      <c r="B207" s="771"/>
      <c r="C207" s="66">
        <f>1/130</f>
        <v>7.6923076923076927E-3</v>
      </c>
      <c r="D207" s="30">
        <v>8</v>
      </c>
      <c r="E207" s="66">
        <f>1/188.76</f>
        <v>5.2977325704598437E-3</v>
      </c>
      <c r="F207" s="30">
        <f>C207*D207*E207</f>
        <v>3.2601431202829807E-4</v>
      </c>
      <c r="G207" s="29">
        <f>C151</f>
        <v>5394.4907000000003</v>
      </c>
      <c r="H207" s="371">
        <f>TRUNC((F207*G207),2)</f>
        <v>1.75</v>
      </c>
      <c r="I207" s="2"/>
    </row>
    <row r="208" spans="1:9" s="84" customFormat="1">
      <c r="A208" s="760" t="s">
        <v>511</v>
      </c>
      <c r="B208" s="761"/>
      <c r="C208" s="372">
        <f>1/(4*300)</f>
        <v>8.3333333333333339E-4</v>
      </c>
      <c r="D208" s="373">
        <v>8</v>
      </c>
      <c r="E208" s="66">
        <f>1/188.76</f>
        <v>5.2977325704598437E-3</v>
      </c>
      <c r="F208" s="147">
        <f>C208*D208*E208</f>
        <v>3.5318217136398959E-5</v>
      </c>
      <c r="G208" s="374">
        <f>'Supervisor '!I153</f>
        <v>7536.3797000000004</v>
      </c>
      <c r="H208" s="375">
        <f>TRUNC((F208*G208),4)</f>
        <v>0.2661</v>
      </c>
      <c r="I208" s="2"/>
    </row>
    <row r="209" spans="1:9" s="84" customFormat="1">
      <c r="A209" s="760" t="s">
        <v>24</v>
      </c>
      <c r="B209" s="761"/>
      <c r="C209" s="376"/>
      <c r="D209" s="373"/>
      <c r="E209" s="373"/>
      <c r="F209" s="377"/>
      <c r="G209" s="377"/>
      <c r="H209" s="378">
        <f>TRUNC((H207+H208),4)</f>
        <v>2.0160999999999998</v>
      </c>
      <c r="I209" s="2"/>
    </row>
    <row r="210" spans="1:9" s="84" customFormat="1">
      <c r="A210" s="2"/>
      <c r="B210" s="2"/>
      <c r="C210" s="2"/>
      <c r="D210" s="2"/>
      <c r="E210" s="2"/>
      <c r="F210" s="2"/>
      <c r="G210" s="2"/>
      <c r="H210" s="2"/>
      <c r="I210" s="2"/>
    </row>
    <row r="211" spans="1:9" s="84" customFormat="1">
      <c r="A211" s="684" t="s">
        <v>115</v>
      </c>
      <c r="B211" s="685"/>
      <c r="C211" s="685"/>
      <c r="D211" s="685"/>
      <c r="E211" s="685"/>
      <c r="F211" s="685"/>
      <c r="G211" s="685"/>
      <c r="H211" s="685"/>
      <c r="I211" s="686"/>
    </row>
    <row r="212" spans="1:9" s="84" customFormat="1">
      <c r="A212" s="743" t="s">
        <v>117</v>
      </c>
      <c r="B212" s="745"/>
      <c r="C212" s="745"/>
      <c r="D212" s="744"/>
      <c r="E212" s="746" t="s">
        <v>116</v>
      </c>
      <c r="F212" s="770"/>
      <c r="G212" s="747"/>
      <c r="H212" s="9" t="s">
        <v>118</v>
      </c>
      <c r="I212" s="9" t="s">
        <v>107</v>
      </c>
    </row>
    <row r="213" spans="1:9" s="84" customFormat="1">
      <c r="A213" s="671" t="s">
        <v>504</v>
      </c>
      <c r="B213" s="672"/>
      <c r="C213" s="672"/>
      <c r="D213" s="673"/>
      <c r="E213" s="753">
        <f>H185</f>
        <v>7.05</v>
      </c>
      <c r="F213" s="751"/>
      <c r="G213" s="752"/>
      <c r="H213" s="22">
        <f>'Limpeza - Imóveis'!U5-'Limpeza - Imóveis'!D5</f>
        <v>611.44999999999993</v>
      </c>
      <c r="I213" s="29">
        <f>E213*H213</f>
        <v>4310.7224999999999</v>
      </c>
    </row>
    <row r="214" spans="1:9" s="84" customFormat="1">
      <c r="A214" s="671" t="s">
        <v>505</v>
      </c>
      <c r="B214" s="672"/>
      <c r="C214" s="672"/>
      <c r="D214" s="673"/>
      <c r="E214" s="753">
        <f>H191</f>
        <v>28.22</v>
      </c>
      <c r="F214" s="763"/>
      <c r="G214" s="754"/>
      <c r="H214" s="22">
        <f>'Limpeza - Imóveis'!D5</f>
        <v>42.23</v>
      </c>
      <c r="I214" s="29">
        <f>E214*H214</f>
        <v>1191.7305999999999</v>
      </c>
    </row>
    <row r="215" spans="1:9" s="84" customFormat="1">
      <c r="A215" s="671" t="s">
        <v>506</v>
      </c>
      <c r="B215" s="672"/>
      <c r="C215" s="672"/>
      <c r="D215" s="673"/>
      <c r="E215" s="753">
        <f>H197</f>
        <v>3.12</v>
      </c>
      <c r="F215" s="751"/>
      <c r="G215" s="752"/>
      <c r="H215" s="22">
        <f>'Limpeza - Imóveis'!V5+'Limpeza - Imóveis'!W5+'Limpeza - Imóveis'!X5</f>
        <v>251.05</v>
      </c>
      <c r="I215" s="29">
        <f t="shared" ref="I215:I218" si="0">E215*H215</f>
        <v>783.27600000000007</v>
      </c>
    </row>
    <row r="216" spans="1:9" s="84" customFormat="1">
      <c r="A216" s="671" t="s">
        <v>589</v>
      </c>
      <c r="B216" s="672"/>
      <c r="C216" s="672"/>
      <c r="D216" s="673"/>
      <c r="E216" s="753">
        <f>H203</f>
        <v>1.59</v>
      </c>
      <c r="F216" s="751"/>
      <c r="G216" s="752"/>
      <c r="H216" s="22">
        <f>'Limpeza - Imóveis'!AA5+'Limpeza - Imóveis'!AB5</f>
        <v>399.34</v>
      </c>
      <c r="I216" s="29">
        <f t="shared" si="0"/>
        <v>634.95060000000001</v>
      </c>
    </row>
    <row r="217" spans="1:9" s="84" customFormat="1">
      <c r="A217" s="671" t="s">
        <v>590</v>
      </c>
      <c r="B217" s="672"/>
      <c r="C217" s="672"/>
      <c r="D217" s="673"/>
      <c r="E217" s="753">
        <f>H209</f>
        <v>2.0160999999999998</v>
      </c>
      <c r="F217" s="763"/>
      <c r="G217" s="754"/>
      <c r="H217" s="22">
        <f>'Limpeza - Imóveis'!AC5+'Limpeza - Imóveis'!AD5</f>
        <v>310.66000000000003</v>
      </c>
      <c r="I217" s="29">
        <f t="shared" si="0"/>
        <v>626.32162600000004</v>
      </c>
    </row>
    <row r="218" spans="1:9" s="84" customFormat="1">
      <c r="A218" s="671" t="s">
        <v>593</v>
      </c>
      <c r="B218" s="672"/>
      <c r="C218" s="672"/>
      <c r="D218" s="673"/>
      <c r="E218" s="753">
        <v>0</v>
      </c>
      <c r="F218" s="763"/>
      <c r="G218" s="754"/>
      <c r="H218" s="370"/>
      <c r="I218" s="383">
        <f t="shared" si="0"/>
        <v>0</v>
      </c>
    </row>
    <row r="219" spans="1:9" s="84" customFormat="1">
      <c r="A219" s="671" t="s">
        <v>502</v>
      </c>
      <c r="B219" s="672"/>
      <c r="C219" s="672"/>
      <c r="D219" s="673"/>
      <c r="E219" s="753">
        <f>H211</f>
        <v>0</v>
      </c>
      <c r="F219" s="763"/>
      <c r="G219" s="754"/>
      <c r="H219" s="374">
        <f>J211</f>
        <v>0</v>
      </c>
      <c r="I219" s="378"/>
    </row>
    <row r="220" spans="1:9" s="84" customFormat="1">
      <c r="A220" s="684" t="s">
        <v>24</v>
      </c>
      <c r="B220" s="685"/>
      <c r="C220" s="685"/>
      <c r="D220" s="685"/>
      <c r="E220" s="685"/>
      <c r="F220" s="685"/>
      <c r="G220" s="686"/>
      <c r="H220" s="121"/>
      <c r="I220" s="384">
        <f>TRUNC(SUM(I213:I218),4)</f>
        <v>7547.0012999999999</v>
      </c>
    </row>
    <row r="221" spans="1:9" s="84" customFormat="1"/>
    <row r="222" spans="1:9" s="84" customFormat="1"/>
    <row r="223" spans="1:9" s="84" customFormat="1"/>
    <row r="224" spans="1:9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  <row r="371" s="84" customFormat="1"/>
    <row r="372" s="84" customFormat="1"/>
    <row r="373" s="84" customFormat="1"/>
    <row r="374" s="84" customFormat="1"/>
    <row r="375" s="84" customFormat="1"/>
    <row r="376" s="84" customFormat="1"/>
    <row r="377" s="84" customFormat="1"/>
    <row r="378" s="84" customFormat="1"/>
    <row r="379" s="84" customFormat="1"/>
    <row r="380" s="84" customFormat="1"/>
    <row r="381" s="84" customFormat="1"/>
    <row r="382" s="84" customFormat="1"/>
    <row r="383" s="84" customFormat="1"/>
    <row r="384" s="84" customFormat="1"/>
    <row r="385" s="84" customFormat="1"/>
    <row r="386" s="84" customFormat="1"/>
    <row r="387" s="84" customFormat="1"/>
    <row r="388" s="84" customFormat="1"/>
    <row r="389" s="84" customFormat="1"/>
    <row r="390" s="84" customFormat="1"/>
    <row r="391" s="84" customFormat="1"/>
    <row r="392" s="84" customFormat="1"/>
    <row r="393" s="84" customFormat="1"/>
    <row r="394" s="84" customFormat="1"/>
    <row r="395" s="84" customFormat="1"/>
    <row r="396" s="84" customFormat="1"/>
    <row r="397" s="84" customFormat="1"/>
    <row r="398" s="84" customFormat="1"/>
    <row r="399" s="84" customFormat="1"/>
    <row r="400" s="84" customFormat="1"/>
    <row r="401" s="84" customFormat="1"/>
    <row r="402" s="84" customFormat="1"/>
    <row r="403" s="84" customFormat="1"/>
    <row r="404" s="84" customFormat="1"/>
    <row r="405" s="84" customFormat="1"/>
    <row r="406" s="84" customFormat="1"/>
    <row r="407" s="84" customFormat="1"/>
    <row r="408" s="84" customFormat="1"/>
    <row r="409" s="84" customFormat="1"/>
    <row r="410" s="84" customFormat="1"/>
    <row r="411" s="84" customFormat="1"/>
    <row r="412" s="84" customFormat="1"/>
    <row r="413" s="84" customFormat="1"/>
    <row r="414" s="84" customFormat="1"/>
    <row r="415" s="84" customFormat="1"/>
    <row r="416" s="84" customFormat="1"/>
    <row r="417" s="84" customFormat="1"/>
    <row r="418" s="84" customFormat="1"/>
    <row r="419" s="84" customFormat="1"/>
    <row r="420" s="84" customFormat="1"/>
    <row r="421" s="84" customFormat="1"/>
    <row r="422" s="84" customFormat="1"/>
    <row r="423" s="84" customFormat="1"/>
    <row r="424" s="84" customFormat="1"/>
    <row r="425" s="84" customFormat="1"/>
    <row r="426" s="84" customFormat="1"/>
    <row r="427" s="84" customFormat="1"/>
    <row r="428" s="84" customFormat="1"/>
    <row r="429" s="84" customFormat="1"/>
    <row r="430" s="84" customFormat="1"/>
    <row r="431" s="84" customFormat="1"/>
    <row r="432" s="84" customFormat="1"/>
    <row r="433" s="84" customFormat="1"/>
    <row r="434" s="84" customFormat="1"/>
    <row r="435" s="84" customFormat="1"/>
    <row r="436" s="84" customFormat="1"/>
    <row r="437" s="84" customFormat="1"/>
    <row r="438" s="84" customFormat="1"/>
    <row r="439" s="84" customFormat="1"/>
    <row r="440" s="84" customFormat="1"/>
    <row r="441" s="84" customFormat="1"/>
    <row r="442" s="84" customFormat="1"/>
    <row r="443" s="84" customFormat="1"/>
    <row r="444" s="84" customFormat="1"/>
    <row r="445" s="84" customFormat="1"/>
    <row r="446" s="84" customFormat="1"/>
    <row r="447" s="84" customFormat="1"/>
    <row r="448" s="84" customFormat="1"/>
    <row r="449" s="84" customFormat="1"/>
    <row r="450" s="84" customFormat="1"/>
    <row r="451" s="84" customFormat="1"/>
    <row r="452" s="84" customFormat="1"/>
    <row r="453" s="84" customFormat="1"/>
    <row r="454" s="84" customFormat="1"/>
    <row r="455" s="84" customFormat="1"/>
    <row r="456" s="84" customFormat="1"/>
    <row r="457" s="84" customFormat="1"/>
    <row r="458" s="84" customFormat="1"/>
    <row r="459" s="84" customFormat="1"/>
    <row r="460" s="84" customFormat="1"/>
    <row r="461" s="84" customFormat="1"/>
    <row r="462" s="84" customFormat="1"/>
    <row r="463" s="84" customFormat="1"/>
    <row r="464" s="84" customFormat="1"/>
    <row r="465" s="84" customFormat="1"/>
    <row r="466" s="84" customFormat="1"/>
    <row r="467" s="84" customFormat="1"/>
    <row r="468" s="84" customFormat="1"/>
    <row r="469" s="84" customFormat="1"/>
    <row r="470" s="84" customFormat="1"/>
    <row r="471" s="84" customFormat="1"/>
    <row r="472" s="84" customFormat="1"/>
    <row r="473" s="84" customFormat="1"/>
    <row r="474" s="84" customFormat="1"/>
    <row r="475" s="84" customFormat="1"/>
    <row r="476" s="84" customFormat="1"/>
    <row r="477" s="84" customFormat="1"/>
    <row r="478" s="84" customFormat="1"/>
    <row r="479" s="84" customFormat="1"/>
    <row r="480" s="84" customFormat="1"/>
    <row r="481" s="84" customFormat="1"/>
    <row r="482" s="84" customFormat="1"/>
    <row r="483" s="84" customFormat="1"/>
    <row r="484" s="84" customFormat="1"/>
    <row r="485" s="84" customFormat="1"/>
    <row r="486" s="84" customFormat="1"/>
    <row r="487" s="84" customFormat="1"/>
    <row r="488" s="84" customFormat="1"/>
    <row r="489" s="84" customFormat="1"/>
    <row r="490" s="84" customFormat="1"/>
    <row r="491" s="84" customFormat="1"/>
    <row r="492" s="84" customFormat="1"/>
    <row r="493" s="84" customFormat="1"/>
    <row r="494" s="84" customFormat="1"/>
    <row r="495" s="84" customFormat="1"/>
    <row r="496" s="84" customFormat="1"/>
    <row r="497" s="84" customFormat="1"/>
    <row r="498" s="84" customFormat="1"/>
    <row r="499" s="84" customFormat="1"/>
    <row r="500" s="84" customFormat="1"/>
    <row r="501" s="84" customFormat="1"/>
    <row r="502" s="84" customFormat="1"/>
    <row r="503" s="84" customFormat="1"/>
    <row r="504" s="84" customFormat="1"/>
    <row r="505" s="84" customFormat="1"/>
    <row r="506" s="84" customFormat="1"/>
    <row r="507" s="84" customFormat="1"/>
    <row r="508" s="84" customFormat="1"/>
    <row r="509" s="84" customFormat="1"/>
    <row r="510" s="84" customFormat="1"/>
    <row r="511" s="84" customFormat="1"/>
    <row r="512" s="84" customFormat="1"/>
    <row r="513" s="84" customFormat="1"/>
    <row r="514" s="84" customFormat="1"/>
    <row r="515" s="84" customFormat="1"/>
    <row r="516" s="84" customFormat="1"/>
    <row r="517" s="84" customFormat="1"/>
    <row r="518" s="84" customFormat="1"/>
    <row r="519" s="84" customFormat="1"/>
    <row r="520" s="84" customFormat="1"/>
    <row r="521" s="84" customFormat="1"/>
    <row r="522" s="84" customFormat="1"/>
    <row r="523" s="84" customFormat="1"/>
    <row r="524" s="84" customFormat="1"/>
    <row r="525" s="84" customFormat="1"/>
    <row r="526" s="84" customFormat="1"/>
    <row r="527" s="84" customFormat="1"/>
    <row r="528" s="84" customFormat="1"/>
  </sheetData>
  <mergeCells count="230"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20:B20"/>
    <mergeCell ref="A22:I22"/>
    <mergeCell ref="B23:H23"/>
    <mergeCell ref="B24:H24"/>
    <mergeCell ref="B25:H25"/>
    <mergeCell ref="B26:H26"/>
    <mergeCell ref="A17:B17"/>
    <mergeCell ref="C17:D17"/>
    <mergeCell ref="E17:I17"/>
    <mergeCell ref="A18:B18"/>
    <mergeCell ref="C18:D18"/>
    <mergeCell ref="E18:I18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A180:I180"/>
    <mergeCell ref="B171:H171"/>
    <mergeCell ref="B174:G174"/>
    <mergeCell ref="B175:G175"/>
    <mergeCell ref="A177:I177"/>
    <mergeCell ref="A157:D157"/>
    <mergeCell ref="F157:I157"/>
    <mergeCell ref="A158:D158"/>
    <mergeCell ref="F158:I158"/>
    <mergeCell ref="A169:I169"/>
    <mergeCell ref="B170:I170"/>
    <mergeCell ref="A184:B184"/>
    <mergeCell ref="C184:E184"/>
    <mergeCell ref="F184:G184"/>
    <mergeCell ref="H184:I184"/>
    <mergeCell ref="A185:B185"/>
    <mergeCell ref="H185:I185"/>
    <mergeCell ref="A181:I181"/>
    <mergeCell ref="A182:B182"/>
    <mergeCell ref="C182:E182"/>
    <mergeCell ref="F182:G182"/>
    <mergeCell ref="H182:I182"/>
    <mergeCell ref="A183:B183"/>
    <mergeCell ref="C183:E183"/>
    <mergeCell ref="F183:G183"/>
    <mergeCell ref="H183:I183"/>
    <mergeCell ref="A190:B190"/>
    <mergeCell ref="C190:E190"/>
    <mergeCell ref="F190:G190"/>
    <mergeCell ref="H190:I190"/>
    <mergeCell ref="A191:B191"/>
    <mergeCell ref="H191:I191"/>
    <mergeCell ref="A187:I187"/>
    <mergeCell ref="A188:B188"/>
    <mergeCell ref="C188:E188"/>
    <mergeCell ref="F188:G188"/>
    <mergeCell ref="H188:I188"/>
    <mergeCell ref="A189:B189"/>
    <mergeCell ref="C189:E189"/>
    <mergeCell ref="F189:G189"/>
    <mergeCell ref="H189:I189"/>
    <mergeCell ref="A193:I193"/>
    <mergeCell ref="A194:B194"/>
    <mergeCell ref="C194:E194"/>
    <mergeCell ref="F194:G194"/>
    <mergeCell ref="H194:I194"/>
    <mergeCell ref="A195:B195"/>
    <mergeCell ref="C195:E195"/>
    <mergeCell ref="F195:G195"/>
    <mergeCell ref="H195:I195"/>
    <mergeCell ref="A199:I199"/>
    <mergeCell ref="A200:B200"/>
    <mergeCell ref="A201:B201"/>
    <mergeCell ref="A202:B202"/>
    <mergeCell ref="A203:B203"/>
    <mergeCell ref="A206:B206"/>
    <mergeCell ref="A196:B196"/>
    <mergeCell ref="C196:E196"/>
    <mergeCell ref="F196:G196"/>
    <mergeCell ref="H196:I196"/>
    <mergeCell ref="A197:B197"/>
    <mergeCell ref="H197:I197"/>
    <mergeCell ref="A213:D213"/>
    <mergeCell ref="E213:G213"/>
    <mergeCell ref="A214:D214"/>
    <mergeCell ref="E214:G214"/>
    <mergeCell ref="A215:D215"/>
    <mergeCell ref="E215:G215"/>
    <mergeCell ref="A207:B207"/>
    <mergeCell ref="A208:B208"/>
    <mergeCell ref="A209:B209"/>
    <mergeCell ref="A211:I211"/>
    <mergeCell ref="A212:D212"/>
    <mergeCell ref="E212:G212"/>
    <mergeCell ref="A219:D219"/>
    <mergeCell ref="E219:G219"/>
    <mergeCell ref="A220:G220"/>
    <mergeCell ref="A216:D216"/>
    <mergeCell ref="E216:G216"/>
    <mergeCell ref="A217:D217"/>
    <mergeCell ref="E217:G217"/>
    <mergeCell ref="A218:D218"/>
    <mergeCell ref="E218:G218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1"/>
  <headerFooter alignWithMargins="0"/>
  <rowBreaks count="2" manualBreakCount="2">
    <brk id="91" max="9" man="1"/>
    <brk id="167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ilha13">
    <tabColor rgb="FF92D050"/>
  </sheetPr>
  <dimension ref="A1:Y782"/>
  <sheetViews>
    <sheetView view="pageBreakPreview" topLeftCell="A193" zoomScaleNormal="96" zoomScaleSheetLayoutView="100" workbookViewId="0">
      <selection activeCell="A205" sqref="A205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6.26953125" style="2" customWidth="1"/>
    <col min="10" max="10" width="0.26953125" style="2" customWidth="1"/>
    <col min="11" max="25" width="9.1796875" style="84"/>
    <col min="26" max="16384" width="9.1796875" style="2"/>
  </cols>
  <sheetData>
    <row r="1" spans="1:10">
      <c r="A1" s="632" t="s">
        <v>301</v>
      </c>
      <c r="B1" s="632"/>
      <c r="C1" s="632"/>
      <c r="D1" s="632"/>
      <c r="E1" s="632"/>
      <c r="F1" s="632"/>
      <c r="G1" s="632"/>
      <c r="H1" s="632"/>
      <c r="I1" s="632"/>
      <c r="J1" s="2" t="s">
        <v>597</v>
      </c>
    </row>
    <row r="2" spans="1:10">
      <c r="A2" s="84"/>
      <c r="B2" s="84"/>
      <c r="C2" s="84"/>
      <c r="D2" s="84"/>
      <c r="E2" s="84"/>
      <c r="F2" s="84"/>
      <c r="G2" s="84"/>
      <c r="H2" s="84"/>
      <c r="I2" s="84"/>
      <c r="J2" s="2" t="s">
        <v>597</v>
      </c>
    </row>
    <row r="3" spans="1:10">
      <c r="A3" s="169" t="s">
        <v>418</v>
      </c>
      <c r="B3" s="170"/>
      <c r="C3" s="156"/>
      <c r="D3" s="156"/>
      <c r="E3" s="84"/>
      <c r="F3" s="84"/>
      <c r="G3" s="84"/>
      <c r="H3" s="84"/>
      <c r="I3" s="84"/>
      <c r="J3" s="2" t="s">
        <v>597</v>
      </c>
    </row>
    <row r="4" spans="1:10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  <c r="J4" s="2" t="s">
        <v>597</v>
      </c>
    </row>
    <row r="5" spans="1:10">
      <c r="A5" s="84"/>
      <c r="B5" s="84"/>
      <c r="C5" s="84"/>
      <c r="D5" s="84"/>
      <c r="E5" s="84"/>
      <c r="F5" s="84"/>
      <c r="G5" s="84"/>
      <c r="H5" s="84"/>
      <c r="I5" s="84"/>
      <c r="J5" s="2" t="s">
        <v>597</v>
      </c>
    </row>
    <row r="6" spans="1:10">
      <c r="A6" s="633" t="s">
        <v>6</v>
      </c>
      <c r="B6" s="633"/>
      <c r="C6" s="633"/>
      <c r="D6" s="633"/>
      <c r="E6" s="633"/>
      <c r="F6" s="633"/>
      <c r="G6" s="633"/>
      <c r="H6" s="633"/>
      <c r="I6" s="633"/>
      <c r="J6" s="2" t="s">
        <v>597</v>
      </c>
    </row>
    <row r="7" spans="1:10">
      <c r="A7" s="161"/>
      <c r="B7" s="161"/>
      <c r="C7" s="161"/>
      <c r="D7" s="161"/>
      <c r="E7" s="161"/>
      <c r="F7" s="161"/>
      <c r="G7" s="161"/>
      <c r="H7" s="161"/>
      <c r="I7" s="161"/>
      <c r="J7" s="2" t="s">
        <v>597</v>
      </c>
    </row>
    <row r="8" spans="1:10">
      <c r="A8" s="634" t="s">
        <v>128</v>
      </c>
      <c r="B8" s="634"/>
      <c r="C8" s="634"/>
      <c r="D8" s="634"/>
      <c r="E8" s="634"/>
      <c r="F8" s="634"/>
      <c r="G8" s="634"/>
      <c r="H8" s="634"/>
      <c r="I8" s="634"/>
      <c r="J8" s="2" t="s">
        <v>597</v>
      </c>
    </row>
    <row r="9" spans="1:10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  <c r="J9" s="2" t="s">
        <v>597</v>
      </c>
    </row>
    <row r="10" spans="1:10">
      <c r="A10" s="152" t="s">
        <v>12</v>
      </c>
      <c r="B10" s="648" t="s">
        <v>350</v>
      </c>
      <c r="C10" s="648"/>
      <c r="D10" s="648"/>
      <c r="E10" s="648"/>
      <c r="F10" s="648"/>
      <c r="G10" s="648"/>
      <c r="H10" s="648"/>
      <c r="I10" s="30" t="s">
        <v>428</v>
      </c>
      <c r="J10" s="2" t="s">
        <v>597</v>
      </c>
    </row>
    <row r="11" spans="1:10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  <c r="J11" s="2" t="s">
        <v>597</v>
      </c>
    </row>
    <row r="12" spans="1:10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  <c r="J12" s="2" t="s">
        <v>597</v>
      </c>
    </row>
    <row r="13" spans="1:10">
      <c r="A13" s="160"/>
      <c r="B13" s="161"/>
      <c r="C13" s="161"/>
      <c r="D13" s="161"/>
      <c r="E13" s="161"/>
      <c r="F13" s="161"/>
      <c r="G13" s="161"/>
      <c r="H13" s="160"/>
      <c r="I13" s="160"/>
      <c r="J13" s="2" t="s">
        <v>597</v>
      </c>
    </row>
    <row r="14" spans="1:10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  <c r="J14" s="2" t="s">
        <v>597</v>
      </c>
    </row>
    <row r="15" spans="1:10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  <c r="J15" s="2" t="s">
        <v>597</v>
      </c>
    </row>
    <row r="16" spans="1:10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  <c r="J16" s="2" t="s">
        <v>597</v>
      </c>
    </row>
    <row r="17" spans="1:10">
      <c r="A17" s="638"/>
      <c r="B17" s="638"/>
      <c r="C17" s="638"/>
      <c r="D17" s="638"/>
      <c r="E17" s="638"/>
      <c r="F17" s="638"/>
      <c r="G17" s="638"/>
      <c r="H17" s="638"/>
      <c r="I17" s="638"/>
      <c r="J17" s="2" t="s">
        <v>597</v>
      </c>
    </row>
    <row r="18" spans="1:10">
      <c r="A18" s="638"/>
      <c r="B18" s="638"/>
      <c r="C18" s="638"/>
      <c r="D18" s="638"/>
      <c r="E18" s="638"/>
      <c r="F18" s="638"/>
      <c r="G18" s="638"/>
      <c r="H18" s="638"/>
      <c r="I18" s="638"/>
      <c r="J18" s="2" t="s">
        <v>597</v>
      </c>
    </row>
    <row r="19" spans="1:10">
      <c r="A19" s="160"/>
      <c r="B19" s="160"/>
      <c r="C19" s="160"/>
      <c r="D19" s="160"/>
      <c r="E19" s="160"/>
      <c r="F19" s="160"/>
      <c r="G19" s="160"/>
      <c r="H19" s="160"/>
      <c r="I19" s="160"/>
      <c r="J19" s="2" t="s">
        <v>597</v>
      </c>
    </row>
    <row r="20" spans="1:10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  <c r="J20" s="2" t="s">
        <v>597</v>
      </c>
    </row>
    <row r="21" spans="1:10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  <c r="J21" s="2" t="s">
        <v>597</v>
      </c>
    </row>
    <row r="22" spans="1:1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2" t="s">
        <v>597</v>
      </c>
    </row>
    <row r="23" spans="1:10">
      <c r="A23" s="30">
        <v>1</v>
      </c>
      <c r="B23" s="671" t="s">
        <v>10</v>
      </c>
      <c r="C23" s="672"/>
      <c r="D23" s="672"/>
      <c r="E23" s="672"/>
      <c r="F23" s="672"/>
      <c r="G23" s="672"/>
      <c r="H23" s="673"/>
      <c r="I23" s="30" t="s">
        <v>36</v>
      </c>
      <c r="J23" s="2" t="s">
        <v>597</v>
      </c>
    </row>
    <row r="24" spans="1:10">
      <c r="A24" s="30">
        <v>2</v>
      </c>
      <c r="B24" s="671" t="s">
        <v>41</v>
      </c>
      <c r="C24" s="672"/>
      <c r="D24" s="672"/>
      <c r="E24" s="672"/>
      <c r="F24" s="672"/>
      <c r="G24" s="672"/>
      <c r="H24" s="673"/>
      <c r="I24" s="30" t="s">
        <v>294</v>
      </c>
      <c r="J24" s="2" t="s">
        <v>597</v>
      </c>
    </row>
    <row r="25" spans="1:10">
      <c r="A25" s="30">
        <v>3</v>
      </c>
      <c r="B25" s="671" t="s">
        <v>9</v>
      </c>
      <c r="C25" s="672"/>
      <c r="D25" s="672"/>
      <c r="E25" s="672"/>
      <c r="F25" s="672"/>
      <c r="G25" s="672"/>
      <c r="H25" s="673"/>
      <c r="I25" s="176">
        <v>1641</v>
      </c>
      <c r="J25" s="2" t="s">
        <v>597</v>
      </c>
    </row>
    <row r="26" spans="1:10">
      <c r="A26" s="30">
        <v>4</v>
      </c>
      <c r="B26" s="671" t="s">
        <v>8</v>
      </c>
      <c r="C26" s="672"/>
      <c r="D26" s="672"/>
      <c r="E26" s="672"/>
      <c r="F26" s="672"/>
      <c r="G26" s="672"/>
      <c r="H26" s="673"/>
      <c r="I26" s="30" t="s">
        <v>37</v>
      </c>
      <c r="J26" s="2" t="s">
        <v>597</v>
      </c>
    </row>
    <row r="27" spans="1:10">
      <c r="A27" s="30">
        <v>5</v>
      </c>
      <c r="B27" s="671" t="s">
        <v>7</v>
      </c>
      <c r="C27" s="672"/>
      <c r="D27" s="672"/>
      <c r="E27" s="672"/>
      <c r="F27" s="672"/>
      <c r="G27" s="672"/>
      <c r="H27" s="673"/>
      <c r="I27" s="4">
        <v>46053</v>
      </c>
      <c r="J27" s="2" t="s">
        <v>597</v>
      </c>
    </row>
    <row r="28" spans="1:10">
      <c r="A28" s="143"/>
      <c r="B28" s="3"/>
      <c r="C28" s="3"/>
      <c r="D28" s="3"/>
      <c r="E28" s="3"/>
      <c r="F28" s="3"/>
      <c r="G28" s="3"/>
      <c r="H28" s="3"/>
      <c r="I28" s="6"/>
      <c r="J28" s="2" t="s">
        <v>597</v>
      </c>
    </row>
    <row r="29" spans="1:10">
      <c r="A29" s="653" t="s">
        <v>30</v>
      </c>
      <c r="B29" s="653"/>
      <c r="C29" s="653"/>
      <c r="D29" s="653"/>
      <c r="E29" s="653"/>
      <c r="F29" s="653"/>
      <c r="G29" s="653"/>
      <c r="H29" s="653"/>
      <c r="I29" s="653"/>
      <c r="J29" s="2" t="s">
        <v>597</v>
      </c>
    </row>
    <row r="30" spans="1:10">
      <c r="A30" s="146">
        <v>1</v>
      </c>
      <c r="B30" s="654" t="s">
        <v>19</v>
      </c>
      <c r="C30" s="655"/>
      <c r="D30" s="655"/>
      <c r="E30" s="655"/>
      <c r="F30" s="655"/>
      <c r="G30" s="656"/>
      <c r="H30" s="146" t="s">
        <v>1</v>
      </c>
      <c r="I30" s="146" t="s">
        <v>1</v>
      </c>
      <c r="J30" s="2" t="s">
        <v>597</v>
      </c>
    </row>
    <row r="31" spans="1:10">
      <c r="A31" s="9" t="s">
        <v>11</v>
      </c>
      <c r="B31" s="671" t="s">
        <v>33</v>
      </c>
      <c r="C31" s="672"/>
      <c r="D31" s="672"/>
      <c r="E31" s="672"/>
      <c r="F31" s="672"/>
      <c r="G31" s="673"/>
      <c r="H31" s="147"/>
      <c r="I31" s="29">
        <v>1764</v>
      </c>
      <c r="J31" s="2" t="s">
        <v>597</v>
      </c>
    </row>
    <row r="32" spans="1:10">
      <c r="A32" s="9" t="s">
        <v>12</v>
      </c>
      <c r="B32" s="671" t="s">
        <v>314</v>
      </c>
      <c r="C32" s="672"/>
      <c r="D32" s="672"/>
      <c r="E32" s="672"/>
      <c r="F32" s="672"/>
      <c r="G32" s="673"/>
      <c r="H32" s="311">
        <v>122</v>
      </c>
      <c r="I32" s="29">
        <f>(H32)</f>
        <v>122</v>
      </c>
      <c r="J32" s="2" t="s">
        <v>597</v>
      </c>
    </row>
    <row r="33" spans="1:10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/>
      <c r="I33" s="29"/>
      <c r="J33" s="2" t="s">
        <v>597</v>
      </c>
    </row>
    <row r="34" spans="1:10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/>
      <c r="I34" s="29">
        <v>0</v>
      </c>
      <c r="J34" s="2" t="s">
        <v>597</v>
      </c>
    </row>
    <row r="35" spans="1:1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  <c r="J35" s="2" t="s">
        <v>597</v>
      </c>
    </row>
    <row r="36" spans="1:1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  <c r="J36" s="2" t="s">
        <v>597</v>
      </c>
    </row>
    <row r="37" spans="1:1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  <c r="J37" s="2" t="s">
        <v>597</v>
      </c>
    </row>
    <row r="38" spans="1:1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  <c r="J38" s="2" t="s">
        <v>597</v>
      </c>
    </row>
    <row r="39" spans="1:10">
      <c r="A39" s="95"/>
      <c r="B39" s="95"/>
      <c r="C39" s="95"/>
      <c r="D39" s="95"/>
      <c r="E39" s="95"/>
      <c r="F39" s="95"/>
      <c r="G39" s="95"/>
      <c r="H39" s="95"/>
      <c r="I39" s="11"/>
      <c r="J39" s="2" t="s">
        <v>597</v>
      </c>
    </row>
    <row r="40" spans="1:1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2" t="s">
        <v>597</v>
      </c>
    </row>
    <row r="41" spans="1:1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2" t="s">
        <v>597</v>
      </c>
    </row>
    <row r="42" spans="1:1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2" t="s">
        <v>597</v>
      </c>
    </row>
    <row r="43" spans="1:1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  <c r="J43" s="2" t="s">
        <v>597</v>
      </c>
    </row>
    <row r="44" spans="1:1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  <c r="J44" s="2" t="s">
        <v>597</v>
      </c>
    </row>
    <row r="45" spans="1:1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  <c r="J45" s="2" t="s">
        <v>597</v>
      </c>
    </row>
    <row r="46" spans="1:10">
      <c r="A46" s="95"/>
      <c r="B46" s="95"/>
      <c r="C46" s="95"/>
      <c r="D46" s="95"/>
      <c r="E46" s="95"/>
      <c r="F46" s="95"/>
      <c r="G46" s="95"/>
      <c r="H46" s="15"/>
      <c r="I46" s="11"/>
      <c r="J46" s="2" t="s">
        <v>597</v>
      </c>
    </row>
    <row r="47" spans="1:10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2" t="s">
        <v>597</v>
      </c>
    </row>
    <row r="48" spans="1:1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2" t="s">
        <v>597</v>
      </c>
    </row>
    <row r="49" spans="1:1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  <c r="J49" s="2" t="s">
        <v>597</v>
      </c>
    </row>
    <row r="50" spans="1:1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  <c r="J50" s="2" t="s">
        <v>597</v>
      </c>
    </row>
    <row r="51" spans="1:1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  <c r="J51" s="2" t="s">
        <v>597</v>
      </c>
    </row>
    <row r="52" spans="1:1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  <c r="J52" s="2" t="s">
        <v>597</v>
      </c>
    </row>
    <row r="53" spans="1:1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  <c r="J53" s="2" t="s">
        <v>597</v>
      </c>
    </row>
    <row r="54" spans="1:1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  <c r="J54" s="2" t="s">
        <v>597</v>
      </c>
    </row>
    <row r="55" spans="1:1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  <c r="J55" s="2" t="s">
        <v>597</v>
      </c>
    </row>
    <row r="56" spans="1:1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  <c r="J56" s="2" t="s">
        <v>597</v>
      </c>
    </row>
    <row r="57" spans="1:1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  <c r="J57" s="2" t="s">
        <v>597</v>
      </c>
    </row>
    <row r="58" spans="1:10">
      <c r="A58" s="16"/>
      <c r="B58" s="16"/>
      <c r="C58" s="16"/>
      <c r="D58" s="16"/>
      <c r="E58" s="16"/>
      <c r="F58" s="16"/>
      <c r="G58" s="16"/>
      <c r="H58" s="17"/>
      <c r="I58" s="18"/>
      <c r="J58" s="2" t="s">
        <v>597</v>
      </c>
    </row>
    <row r="59" spans="1:1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2" t="s">
        <v>597</v>
      </c>
    </row>
    <row r="60" spans="1:1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2" t="s">
        <v>597</v>
      </c>
    </row>
    <row r="61" spans="1:1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4.6500000000000004</v>
      </c>
      <c r="I61" s="70">
        <f>C166</f>
        <v>98.760000000000019</v>
      </c>
      <c r="J61" s="2" t="s">
        <v>597</v>
      </c>
    </row>
    <row r="62" spans="1:1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  <c r="J62" s="2" t="s">
        <v>597</v>
      </c>
    </row>
    <row r="63" spans="1:1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2" t="s">
        <v>597</v>
      </c>
    </row>
    <row r="64" spans="1:1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2" t="s">
        <v>597</v>
      </c>
    </row>
    <row r="65" spans="1:1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2" t="s">
        <v>597</v>
      </c>
    </row>
    <row r="66" spans="1:1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2" t="s">
        <v>597</v>
      </c>
    </row>
    <row r="67" spans="1:1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2" t="s">
        <v>597</v>
      </c>
    </row>
    <row r="68" spans="1:10">
      <c r="A68" s="9" t="s">
        <v>18</v>
      </c>
      <c r="B68" s="661" t="s">
        <v>315</v>
      </c>
      <c r="C68" s="661"/>
      <c r="D68" s="661"/>
      <c r="E68" s="661"/>
      <c r="F68" s="661"/>
      <c r="G68" s="661"/>
      <c r="H68" s="176">
        <v>0</v>
      </c>
      <c r="I68" s="70">
        <v>0</v>
      </c>
      <c r="J68" s="2" t="s">
        <v>597</v>
      </c>
    </row>
    <row r="69" spans="1:1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176">
        <v>0</v>
      </c>
      <c r="I69" s="70">
        <v>0</v>
      </c>
      <c r="J69" s="2" t="s">
        <v>597</v>
      </c>
    </row>
    <row r="70" spans="1:1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2" t="s">
        <v>597</v>
      </c>
    </row>
    <row r="71" spans="1:1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2" t="s">
        <v>597</v>
      </c>
    </row>
    <row r="72" spans="1:1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2" t="s">
        <v>597</v>
      </c>
    </row>
    <row r="73" spans="1:1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886.25919999999996</v>
      </c>
      <c r="J73" s="2" t="s">
        <v>597</v>
      </c>
    </row>
    <row r="74" spans="1:10">
      <c r="A74" s="95"/>
      <c r="B74" s="95"/>
      <c r="C74" s="95"/>
      <c r="D74" s="95"/>
      <c r="E74" s="95"/>
      <c r="F74" s="95"/>
      <c r="G74" s="95"/>
      <c r="H74" s="95"/>
      <c r="I74" s="11"/>
      <c r="J74" s="2" t="s">
        <v>597</v>
      </c>
    </row>
    <row r="75" spans="1:1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  <c r="J75" s="2" t="s">
        <v>597</v>
      </c>
    </row>
    <row r="76" spans="1:1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  <c r="J76" s="2" t="s">
        <v>597</v>
      </c>
    </row>
    <row r="77" spans="1:1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  <c r="J77" s="2" t="s">
        <v>597</v>
      </c>
    </row>
    <row r="78" spans="1:1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  <c r="J78" s="2" t="s">
        <v>597</v>
      </c>
    </row>
    <row r="79" spans="1:1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886.25919999999996</v>
      </c>
      <c r="J79" s="2" t="s">
        <v>597</v>
      </c>
    </row>
    <row r="80" spans="1:1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1866.9504999999999</v>
      </c>
      <c r="J80" s="2" t="s">
        <v>597</v>
      </c>
    </row>
    <row r="81" spans="1:10">
      <c r="A81" s="668"/>
      <c r="B81" s="669"/>
      <c r="C81" s="669"/>
      <c r="D81" s="669"/>
      <c r="E81" s="669"/>
      <c r="F81" s="669"/>
      <c r="G81" s="669"/>
      <c r="H81" s="669"/>
      <c r="I81" s="669"/>
      <c r="J81" s="2" t="s">
        <v>597</v>
      </c>
    </row>
    <row r="82" spans="1:10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  <c r="J82" s="2" t="s">
        <v>597</v>
      </c>
    </row>
    <row r="83" spans="1:10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  <c r="J83" s="2" t="s">
        <v>597</v>
      </c>
    </row>
    <row r="84" spans="1:10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  <c r="J84" s="2" t="s">
        <v>597</v>
      </c>
    </row>
    <row r="85" spans="1:10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  <c r="J85" s="2" t="s">
        <v>597</v>
      </c>
    </row>
    <row r="86" spans="1:10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  <c r="J86" s="2" t="s">
        <v>597</v>
      </c>
    </row>
    <row r="87" spans="1:10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  <c r="J87" s="2" t="s">
        <v>597</v>
      </c>
    </row>
    <row r="88" spans="1:10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  <c r="J88" s="2" t="s">
        <v>597</v>
      </c>
    </row>
    <row r="89" spans="1:10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  <c r="J89" s="2" t="s">
        <v>597</v>
      </c>
    </row>
    <row r="90" spans="1:10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  <c r="J90" s="2" t="s">
        <v>597</v>
      </c>
    </row>
    <row r="91" spans="1:10">
      <c r="A91" s="668"/>
      <c r="B91" s="669"/>
      <c r="C91" s="669"/>
      <c r="D91" s="669"/>
      <c r="E91" s="669"/>
      <c r="F91" s="669"/>
      <c r="G91" s="669"/>
      <c r="H91" s="669"/>
      <c r="I91" s="669"/>
      <c r="J91" s="2" t="s">
        <v>597</v>
      </c>
    </row>
    <row r="92" spans="1:10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  <c r="J92" s="2" t="s">
        <v>597</v>
      </c>
    </row>
    <row r="93" spans="1:10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  <c r="J93" s="2" t="s">
        <v>597</v>
      </c>
    </row>
    <row r="94" spans="1:10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  <c r="J94" s="2" t="s">
        <v>597</v>
      </c>
    </row>
    <row r="95" spans="1:10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323.13808333333333</v>
      </c>
      <c r="J95" s="2" t="s">
        <v>597</v>
      </c>
    </row>
    <row r="96" spans="1:10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(2/30/12)</f>
        <v>5.5555555555555558E-3</v>
      </c>
      <c r="I96" s="29">
        <f>(I38+I80+I90)*H96</f>
        <v>21.542538888888892</v>
      </c>
      <c r="J96" s="2" t="s">
        <v>597</v>
      </c>
    </row>
    <row r="97" spans="1:10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1.3794015097146666</v>
      </c>
      <c r="J97" s="2" t="s">
        <v>597</v>
      </c>
    </row>
    <row r="98" spans="1:10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0.71090378333333337</v>
      </c>
      <c r="J98" s="2" t="s">
        <v>597</v>
      </c>
    </row>
    <row r="99" spans="1:10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5.5344248539050245</v>
      </c>
      <c r="J99" s="2" t="s">
        <v>597</v>
      </c>
    </row>
    <row r="100" spans="1:10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  <c r="J100" s="2" t="s">
        <v>597</v>
      </c>
    </row>
    <row r="101" spans="1:10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9.0800000000000006E-2</v>
      </c>
      <c r="I101" s="10">
        <f>TRUNC(SUM(I95:I100),4)</f>
        <v>352.30529999999999</v>
      </c>
      <c r="J101" s="2" t="s">
        <v>597</v>
      </c>
    </row>
    <row r="102" spans="1:10">
      <c r="A102" s="674"/>
      <c r="B102" s="675"/>
      <c r="C102" s="675"/>
      <c r="D102" s="675"/>
      <c r="E102" s="675"/>
      <c r="F102" s="675"/>
      <c r="G102" s="675"/>
      <c r="H102" s="675"/>
      <c r="I102" s="675"/>
      <c r="J102" s="2" t="s">
        <v>597</v>
      </c>
    </row>
    <row r="103" spans="1:10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  <c r="J103" s="2" t="s">
        <v>597</v>
      </c>
    </row>
    <row r="104" spans="1:10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  <c r="J104" s="2" t="s">
        <v>597</v>
      </c>
    </row>
    <row r="105" spans="1:10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  <c r="J105" s="2" t="s">
        <v>597</v>
      </c>
    </row>
    <row r="106" spans="1:10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  <c r="J106" s="2" t="s">
        <v>597</v>
      </c>
    </row>
    <row r="107" spans="1:10">
      <c r="A107" s="94"/>
      <c r="B107" s="94"/>
      <c r="C107" s="94"/>
      <c r="D107" s="94"/>
      <c r="E107" s="94"/>
      <c r="F107" s="94"/>
      <c r="G107" s="94"/>
      <c r="H107" s="94"/>
      <c r="I107" s="94"/>
      <c r="J107" s="2" t="s">
        <v>597</v>
      </c>
    </row>
    <row r="108" spans="1:10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  <c r="J108" s="2" t="s">
        <v>597</v>
      </c>
    </row>
    <row r="109" spans="1:10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  <c r="J109" s="2" t="s">
        <v>597</v>
      </c>
    </row>
    <row r="110" spans="1:10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352.30529999999999</v>
      </c>
      <c r="J110" s="2" t="s">
        <v>597</v>
      </c>
    </row>
    <row r="111" spans="1:10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  <c r="J111" s="2" t="s">
        <v>597</v>
      </c>
    </row>
    <row r="112" spans="1:10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352.30529999999999</v>
      </c>
      <c r="J112" s="2" t="s">
        <v>597</v>
      </c>
    </row>
    <row r="113" spans="1:10">
      <c r="A113" s="674"/>
      <c r="B113" s="675"/>
      <c r="C113" s="675"/>
      <c r="D113" s="675"/>
      <c r="E113" s="675"/>
      <c r="F113" s="675"/>
      <c r="G113" s="675"/>
      <c r="H113" s="675"/>
      <c r="I113" s="675"/>
      <c r="J113" s="2" t="s">
        <v>597</v>
      </c>
    </row>
    <row r="114" spans="1:10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  <c r="J114" s="2" t="s">
        <v>597</v>
      </c>
    </row>
    <row r="115" spans="1:10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  <c r="J115" s="2" t="s">
        <v>597</v>
      </c>
    </row>
    <row r="116" spans="1:10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  <c r="J116" s="2" t="s">
        <v>597</v>
      </c>
    </row>
    <row r="117" spans="1:10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  <c r="J117" s="2" t="s">
        <v>597</v>
      </c>
    </row>
    <row r="118" spans="1:10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  <c r="J118" s="2" t="s">
        <v>597</v>
      </c>
    </row>
    <row r="119" spans="1:10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  <c r="J119" s="2" t="s">
        <v>597</v>
      </c>
    </row>
    <row r="120" spans="1:10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  <c r="J120" s="2" t="s">
        <v>597</v>
      </c>
    </row>
    <row r="121" spans="1:10">
      <c r="A121" s="16"/>
      <c r="B121" s="16"/>
      <c r="C121" s="16"/>
      <c r="D121" s="16"/>
      <c r="E121" s="16"/>
      <c r="F121" s="16"/>
      <c r="G121" s="16"/>
      <c r="H121" s="17"/>
      <c r="I121" s="18"/>
      <c r="J121" s="2" t="s">
        <v>597</v>
      </c>
    </row>
    <row r="122" spans="1:10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  <c r="J122" s="2" t="s">
        <v>597</v>
      </c>
    </row>
    <row r="123" spans="1:10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  <c r="J123" s="2" t="s">
        <v>597</v>
      </c>
    </row>
    <row r="124" spans="1:10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222.15</v>
      </c>
      <c r="J124" s="2" t="s">
        <v>597</v>
      </c>
    </row>
    <row r="125" spans="1:10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316.77</v>
      </c>
      <c r="J125" s="2" t="s">
        <v>597</v>
      </c>
    </row>
    <row r="126" spans="1:10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  <c r="J126" s="2" t="s">
        <v>597</v>
      </c>
    </row>
    <row r="127" spans="1:10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  <c r="J127" s="2" t="s">
        <v>597</v>
      </c>
    </row>
    <row r="128" spans="1:10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34.69031060524906</v>
      </c>
      <c r="J128" s="2" t="s">
        <v>597</v>
      </c>
    </row>
    <row r="129" spans="1:10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160.10912587038027</v>
      </c>
      <c r="J129" s="2" t="s">
        <v>597</v>
      </c>
    </row>
    <row r="130" spans="1:10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  <c r="J130" s="2" t="s">
        <v>597</v>
      </c>
    </row>
    <row r="131" spans="1:10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  <c r="J131" s="2" t="s">
        <v>597</v>
      </c>
    </row>
    <row r="132" spans="1:10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  <c r="J132" s="2" t="s">
        <v>597</v>
      </c>
    </row>
    <row r="133" spans="1:10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  <c r="J133" s="2" t="s">
        <v>597</v>
      </c>
    </row>
    <row r="134" spans="1:10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  <c r="J134" s="2" t="s">
        <v>597</v>
      </c>
    </row>
    <row r="135" spans="1:10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160.10912587038027</v>
      </c>
      <c r="J135" s="2" t="s">
        <v>597</v>
      </c>
    </row>
    <row r="136" spans="1:10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893.82849999999996</v>
      </c>
      <c r="J136" s="2" t="s">
        <v>597</v>
      </c>
    </row>
    <row r="137" spans="1:10">
      <c r="A137" s="95"/>
      <c r="B137" s="95"/>
      <c r="C137" s="95"/>
      <c r="D137" s="95"/>
      <c r="E137" s="95"/>
      <c r="F137" s="95"/>
      <c r="G137" s="95"/>
      <c r="H137" s="25"/>
      <c r="I137" s="11"/>
      <c r="J137" s="2" t="s">
        <v>597</v>
      </c>
    </row>
    <row r="138" spans="1:10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  <c r="J138" s="2" t="s">
        <v>597</v>
      </c>
    </row>
    <row r="139" spans="1:10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  <c r="J139" s="2" t="s">
        <v>597</v>
      </c>
    </row>
    <row r="140" spans="1:10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  <c r="J140" s="2" t="s">
        <v>597</v>
      </c>
    </row>
    <row r="141" spans="1:10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197">
        <f>I80</f>
        <v>1866.9504999999999</v>
      </c>
      <c r="J141" s="2" t="s">
        <v>597</v>
      </c>
    </row>
    <row r="142" spans="1:10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  <c r="J142" s="2" t="s">
        <v>597</v>
      </c>
    </row>
    <row r="143" spans="1:10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352.30529999999999</v>
      </c>
      <c r="J143" s="2" t="s">
        <v>597</v>
      </c>
    </row>
    <row r="144" spans="1:10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  <c r="J144" s="2" t="s">
        <v>597</v>
      </c>
    </row>
    <row r="145" spans="1:1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4443.1423000000004</v>
      </c>
      <c r="J145" s="2" t="s">
        <v>597</v>
      </c>
    </row>
    <row r="146" spans="1:1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197">
        <f>I136</f>
        <v>893.82849999999996</v>
      </c>
      <c r="J146" s="2" t="s">
        <v>597</v>
      </c>
    </row>
    <row r="147" spans="1:1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5336.9708000000001</v>
      </c>
      <c r="J147" s="2" t="s">
        <v>597</v>
      </c>
    </row>
    <row r="148" spans="1:10">
      <c r="A148" s="5"/>
      <c r="B148" s="5"/>
      <c r="C148" s="5"/>
      <c r="D148" s="5"/>
      <c r="E148" s="5"/>
      <c r="F148" s="5"/>
      <c r="G148" s="5"/>
      <c r="H148" s="5"/>
      <c r="I148" s="69"/>
      <c r="J148" s="2" t="s">
        <v>597</v>
      </c>
    </row>
    <row r="149" spans="1:1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10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10" ht="27.65" customHeight="1">
      <c r="A151" s="681" t="str">
        <f>I23</f>
        <v>Limpeza</v>
      </c>
      <c r="B151" s="682"/>
      <c r="C151" s="683">
        <f>(I147)</f>
        <v>5336.9708000000001</v>
      </c>
      <c r="D151" s="683"/>
      <c r="E151" s="72">
        <v>1</v>
      </c>
      <c r="F151" s="683">
        <f>(I147)</f>
        <v>5336.9708000000001</v>
      </c>
      <c r="G151" s="683"/>
      <c r="H151" s="72">
        <v>1</v>
      </c>
      <c r="I151" s="141">
        <f>F151*H151</f>
        <v>5336.9708000000001</v>
      </c>
    </row>
    <row r="152" spans="1:1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/>
    </row>
    <row r="153" spans="1:1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5336.9708000000001</v>
      </c>
    </row>
    <row r="154" spans="1:10">
      <c r="A154" s="142" t="s">
        <v>307</v>
      </c>
      <c r="B154" s="217"/>
      <c r="C154" s="215"/>
      <c r="D154" s="217"/>
      <c r="E154" s="217"/>
      <c r="F154" s="217"/>
      <c r="G154" s="217"/>
      <c r="H154" s="216"/>
      <c r="I154" s="232">
        <f>TRUNC((I151*2)+(I152*12),4)</f>
        <v>10673.9416</v>
      </c>
    </row>
    <row r="155" spans="1:10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1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10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10">
      <c r="A158" s="691" t="s">
        <v>316</v>
      </c>
      <c r="B158" s="692"/>
      <c r="C158" s="692"/>
      <c r="D158" s="692"/>
      <c r="E158" s="32"/>
      <c r="F158" s="692" t="s">
        <v>440</v>
      </c>
      <c r="G158" s="692"/>
      <c r="H158" s="692"/>
      <c r="I158" s="693"/>
    </row>
    <row r="159" spans="1:10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10">
      <c r="A160" s="180">
        <v>4.6500000000000004</v>
      </c>
      <c r="B160" s="37">
        <v>1</v>
      </c>
      <c r="C160" s="34">
        <v>44</v>
      </c>
      <c r="D160" s="38">
        <f>A160*B160*C160</f>
        <v>204.60000000000002</v>
      </c>
      <c r="E160" s="32"/>
      <c r="F160" s="203">
        <v>26.833300000000001</v>
      </c>
      <c r="G160" s="34">
        <v>1</v>
      </c>
      <c r="H160" s="34">
        <v>30</v>
      </c>
      <c r="I160" s="97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204.60000000000002</v>
      </c>
      <c r="B166" s="50">
        <f>C163</f>
        <v>105.84</v>
      </c>
      <c r="C166" s="51">
        <f>A166-B166</f>
        <v>98.760000000000019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>
      <c r="A167" s="104"/>
      <c r="B167" s="104"/>
      <c r="C167" s="104"/>
      <c r="D167" s="40"/>
      <c r="E167" s="32"/>
      <c r="F167" s="104"/>
      <c r="G167" s="105"/>
      <c r="H167" s="104"/>
      <c r="I167" s="40"/>
    </row>
    <row r="168" spans="1:9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9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9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218" t="s">
        <v>95</v>
      </c>
    </row>
    <row r="172" spans="1:9">
      <c r="A172" s="59" t="s">
        <v>11</v>
      </c>
      <c r="B172" s="219" t="s">
        <v>403</v>
      </c>
      <c r="C172" s="220"/>
      <c r="D172" s="220"/>
      <c r="E172" s="220"/>
      <c r="F172" s="220"/>
      <c r="G172" s="220"/>
      <c r="H172" s="221"/>
      <c r="I172" s="229">
        <f>I220</f>
        <v>3339.9798999999998</v>
      </c>
    </row>
    <row r="173" spans="1:9" ht="15" customHeight="1">
      <c r="A173" s="60" t="s">
        <v>12</v>
      </c>
      <c r="B173" s="222" t="s">
        <v>97</v>
      </c>
      <c r="C173" s="223"/>
      <c r="D173" s="223"/>
      <c r="E173" s="223"/>
      <c r="F173" s="223"/>
      <c r="G173" s="223"/>
      <c r="H173" s="224"/>
      <c r="I173" s="230"/>
    </row>
    <row r="174" spans="1:9" ht="15" customHeight="1">
      <c r="A174" s="60" t="s">
        <v>13</v>
      </c>
      <c r="B174" s="775" t="s">
        <v>501</v>
      </c>
      <c r="C174" s="776"/>
      <c r="D174" s="776"/>
      <c r="E174" s="776"/>
      <c r="F174" s="776"/>
      <c r="G174" s="776"/>
      <c r="H174" s="226"/>
      <c r="I174" s="225">
        <f>C152</f>
        <v>0</v>
      </c>
    </row>
    <row r="175" spans="1:9" ht="15.75" customHeight="1" thickBot="1">
      <c r="A175" s="64"/>
      <c r="B175" s="777" t="s">
        <v>404</v>
      </c>
      <c r="C175" s="778"/>
      <c r="D175" s="778"/>
      <c r="E175" s="778"/>
      <c r="F175" s="778"/>
      <c r="G175" s="778"/>
      <c r="H175" s="228"/>
      <c r="I175" s="227">
        <f>TRUNC(((I172*2)+(I174*12)),4)</f>
        <v>6679.9597999999996</v>
      </c>
    </row>
    <row r="176" spans="1:9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10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10">
      <c r="A178" s="118"/>
      <c r="B178" s="118"/>
      <c r="C178" s="118"/>
      <c r="D178" s="118"/>
      <c r="E178" s="118"/>
      <c r="F178" s="118"/>
      <c r="G178" s="118"/>
      <c r="H178" s="118"/>
      <c r="I178" s="118"/>
    </row>
    <row r="179" spans="1:10" s="84" customFormat="1">
      <c r="A179" s="67" t="s">
        <v>109</v>
      </c>
      <c r="B179" s="2"/>
      <c r="C179" s="2"/>
      <c r="D179" s="2"/>
      <c r="E179" s="2"/>
      <c r="F179" s="2"/>
      <c r="G179" s="2"/>
      <c r="H179" s="2"/>
      <c r="I179" s="2"/>
      <c r="J179" s="2"/>
    </row>
    <row r="180" spans="1:10" s="84" customFormat="1">
      <c r="A180" s="669"/>
      <c r="B180" s="669"/>
      <c r="C180" s="669"/>
      <c r="D180" s="669"/>
      <c r="E180" s="669"/>
      <c r="F180" s="669"/>
      <c r="G180" s="669"/>
      <c r="H180" s="669"/>
      <c r="I180" s="669"/>
      <c r="J180" s="2"/>
    </row>
    <row r="181" spans="1:10" s="84" customFormat="1">
      <c r="A181" s="669" t="s">
        <v>402</v>
      </c>
      <c r="B181" s="669"/>
      <c r="C181" s="669"/>
      <c r="D181" s="669"/>
      <c r="E181" s="669"/>
      <c r="F181" s="669"/>
      <c r="G181" s="669"/>
      <c r="H181" s="669"/>
      <c r="I181" s="669"/>
      <c r="J181" s="2"/>
    </row>
    <row r="182" spans="1:10" s="84" customFormat="1">
      <c r="A182" s="743" t="s">
        <v>110</v>
      </c>
      <c r="B182" s="744"/>
      <c r="C182" s="743" t="s">
        <v>111</v>
      </c>
      <c r="D182" s="745"/>
      <c r="E182" s="744"/>
      <c r="F182" s="746" t="s">
        <v>112</v>
      </c>
      <c r="G182" s="747"/>
      <c r="H182" s="743" t="s">
        <v>113</v>
      </c>
      <c r="I182" s="744"/>
      <c r="J182" s="2"/>
    </row>
    <row r="183" spans="1:10" s="84" customFormat="1">
      <c r="A183" s="748" t="s">
        <v>114</v>
      </c>
      <c r="B183" s="749"/>
      <c r="C183" s="750">
        <f>1/800</f>
        <v>1.25E-3</v>
      </c>
      <c r="D183" s="751"/>
      <c r="E183" s="752"/>
      <c r="F183" s="753">
        <f>C151</f>
        <v>5336.9708000000001</v>
      </c>
      <c r="G183" s="752"/>
      <c r="H183" s="753">
        <f>TRUNC((C183*F183),2)</f>
        <v>6.67</v>
      </c>
      <c r="I183" s="754"/>
      <c r="J183" s="2"/>
    </row>
    <row r="184" spans="1:10" s="84" customFormat="1">
      <c r="A184" s="760" t="s">
        <v>511</v>
      </c>
      <c r="B184" s="761"/>
      <c r="C184" s="767">
        <f>1/(30*800)</f>
        <v>4.1666666666666665E-5</v>
      </c>
      <c r="D184" s="768"/>
      <c r="E184" s="769"/>
      <c r="F184" s="764">
        <f>'Supervisor '!I153</f>
        <v>7536.3797000000004</v>
      </c>
      <c r="G184" s="765"/>
      <c r="H184" s="764">
        <f>TRUNC((C184*F184),2)</f>
        <v>0.31</v>
      </c>
      <c r="I184" s="766"/>
      <c r="J184" s="2"/>
    </row>
    <row r="185" spans="1:10" s="84" customFormat="1">
      <c r="A185" s="760" t="s">
        <v>24</v>
      </c>
      <c r="B185" s="762"/>
      <c r="C185" s="376"/>
      <c r="D185" s="373"/>
      <c r="E185" s="373"/>
      <c r="F185" s="377"/>
      <c r="G185" s="377"/>
      <c r="H185" s="764">
        <f>TRUNC((H183+H184),2)</f>
        <v>6.98</v>
      </c>
      <c r="I185" s="766"/>
      <c r="J185" s="2"/>
    </row>
    <row r="186" spans="1:10" s="84" customFormat="1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s="84" customFormat="1">
      <c r="A187" s="668" t="s">
        <v>498</v>
      </c>
      <c r="B187" s="669"/>
      <c r="C187" s="669"/>
      <c r="D187" s="669"/>
      <c r="E187" s="669"/>
      <c r="F187" s="669"/>
      <c r="G187" s="669"/>
      <c r="H187" s="669"/>
      <c r="I187" s="669"/>
      <c r="J187" s="2"/>
    </row>
    <row r="188" spans="1:10" s="84" customFormat="1">
      <c r="A188" s="743" t="s">
        <v>110</v>
      </c>
      <c r="B188" s="744"/>
      <c r="C188" s="743" t="s">
        <v>111</v>
      </c>
      <c r="D188" s="745"/>
      <c r="E188" s="744"/>
      <c r="F188" s="746" t="s">
        <v>112</v>
      </c>
      <c r="G188" s="747"/>
      <c r="H188" s="743" t="s">
        <v>113</v>
      </c>
      <c r="I188" s="744"/>
      <c r="J188" s="2"/>
    </row>
    <row r="189" spans="1:10" s="84" customFormat="1">
      <c r="A189" s="748" t="s">
        <v>114</v>
      </c>
      <c r="B189" s="749"/>
      <c r="C189" s="750">
        <f>1/200</f>
        <v>5.0000000000000001E-3</v>
      </c>
      <c r="D189" s="751"/>
      <c r="E189" s="752"/>
      <c r="F189" s="753">
        <f>C151</f>
        <v>5336.9708000000001</v>
      </c>
      <c r="G189" s="752"/>
      <c r="H189" s="753">
        <f>TRUNC((C189*F189),2)</f>
        <v>26.68</v>
      </c>
      <c r="I189" s="754"/>
      <c r="J189" s="2"/>
    </row>
    <row r="190" spans="1:10" s="84" customFormat="1">
      <c r="A190" s="760" t="s">
        <v>511</v>
      </c>
      <c r="B190" s="761"/>
      <c r="C190" s="767">
        <f>1/(30*200)</f>
        <v>1.6666666666666666E-4</v>
      </c>
      <c r="D190" s="768"/>
      <c r="E190" s="769"/>
      <c r="F190" s="764">
        <f>'Supervisor '!I153</f>
        <v>7536.3797000000004</v>
      </c>
      <c r="G190" s="765"/>
      <c r="H190" s="764">
        <f>TRUNC((C190*F190),2)</f>
        <v>1.25</v>
      </c>
      <c r="I190" s="766"/>
      <c r="J190" s="2"/>
    </row>
    <row r="191" spans="1:10" s="84" customFormat="1">
      <c r="A191" s="760" t="s">
        <v>24</v>
      </c>
      <c r="B191" s="762"/>
      <c r="C191" s="376"/>
      <c r="D191" s="373"/>
      <c r="E191" s="373"/>
      <c r="F191" s="377"/>
      <c r="G191" s="377"/>
      <c r="H191" s="764">
        <f>TRUNC((H189+H190),2)</f>
        <v>27.93</v>
      </c>
      <c r="I191" s="766"/>
      <c r="J191" s="2"/>
    </row>
    <row r="192" spans="1:10" s="84" customFormat="1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s="84" customFormat="1">
      <c r="A193" s="669" t="s">
        <v>401</v>
      </c>
      <c r="B193" s="669"/>
      <c r="C193" s="669"/>
      <c r="D193" s="669"/>
      <c r="E193" s="669"/>
      <c r="F193" s="669"/>
      <c r="G193" s="669"/>
      <c r="H193" s="669"/>
      <c r="I193" s="669"/>
      <c r="J193" s="2"/>
    </row>
    <row r="194" spans="1:10" s="84" customFormat="1">
      <c r="A194" s="743" t="s">
        <v>110</v>
      </c>
      <c r="B194" s="744"/>
      <c r="C194" s="743" t="s">
        <v>111</v>
      </c>
      <c r="D194" s="745"/>
      <c r="E194" s="744"/>
      <c r="F194" s="746" t="s">
        <v>112</v>
      </c>
      <c r="G194" s="747"/>
      <c r="H194" s="743" t="s">
        <v>113</v>
      </c>
      <c r="I194" s="744"/>
      <c r="J194" s="2"/>
    </row>
    <row r="195" spans="1:10" s="84" customFormat="1">
      <c r="A195" s="748" t="s">
        <v>114</v>
      </c>
      <c r="B195" s="749"/>
      <c r="C195" s="750">
        <f>1/1800</f>
        <v>5.5555555555555556E-4</v>
      </c>
      <c r="D195" s="751"/>
      <c r="E195" s="752"/>
      <c r="F195" s="753">
        <f>C151</f>
        <v>5336.9708000000001</v>
      </c>
      <c r="G195" s="752"/>
      <c r="H195" s="753">
        <f>TRUNC((C195*F195),2)</f>
        <v>2.96</v>
      </c>
      <c r="I195" s="754"/>
      <c r="J195" s="2"/>
    </row>
    <row r="196" spans="1:10" s="84" customFormat="1">
      <c r="A196" s="760" t="s">
        <v>511</v>
      </c>
      <c r="B196" s="761"/>
      <c r="C196" s="767">
        <f>1/(30*1800)</f>
        <v>1.8518518518518518E-5</v>
      </c>
      <c r="D196" s="768"/>
      <c r="E196" s="769"/>
      <c r="F196" s="764">
        <f>'Supervisor '!I153</f>
        <v>7536.3797000000004</v>
      </c>
      <c r="G196" s="765"/>
      <c r="H196" s="764">
        <f>TRUNC((C196*F196),2)</f>
        <v>0.13</v>
      </c>
      <c r="I196" s="766"/>
      <c r="J196" s="2"/>
    </row>
    <row r="197" spans="1:10" s="84" customFormat="1">
      <c r="A197" s="760" t="s">
        <v>24</v>
      </c>
      <c r="B197" s="762"/>
      <c r="C197" s="376"/>
      <c r="D197" s="373"/>
      <c r="E197" s="373"/>
      <c r="F197" s="377"/>
      <c r="G197" s="377"/>
      <c r="H197" s="764">
        <f>TRUNC((H195+H196),2)</f>
        <v>3.09</v>
      </c>
      <c r="I197" s="766"/>
      <c r="J197" s="2"/>
    </row>
    <row r="198" spans="1:10" s="84" customFormat="1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s="84" customFormat="1">
      <c r="A199" s="668" t="s">
        <v>500</v>
      </c>
      <c r="B199" s="669"/>
      <c r="C199" s="669"/>
      <c r="D199" s="669"/>
      <c r="E199" s="669"/>
      <c r="F199" s="669"/>
      <c r="G199" s="669"/>
      <c r="H199" s="669"/>
      <c r="I199" s="669"/>
      <c r="J199" s="2"/>
    </row>
    <row r="200" spans="1:10" s="84" customFormat="1" ht="70">
      <c r="A200" s="748" t="s">
        <v>110</v>
      </c>
      <c r="B200" s="749"/>
      <c r="C200" s="68" t="s">
        <v>119</v>
      </c>
      <c r="D200" s="68" t="s">
        <v>120</v>
      </c>
      <c r="E200" s="68" t="s">
        <v>121</v>
      </c>
      <c r="F200" s="68" t="s">
        <v>122</v>
      </c>
      <c r="G200" s="68" t="s">
        <v>123</v>
      </c>
      <c r="H200" s="68" t="s">
        <v>124</v>
      </c>
      <c r="I200" s="119"/>
      <c r="J200" s="2"/>
    </row>
    <row r="201" spans="1:10" s="84" customFormat="1">
      <c r="A201" s="771" t="s">
        <v>114</v>
      </c>
      <c r="B201" s="771"/>
      <c r="C201" s="66">
        <f>1/300</f>
        <v>3.3333333333333335E-3</v>
      </c>
      <c r="D201" s="30">
        <v>16</v>
      </c>
      <c r="E201" s="66">
        <f>1/186.76</f>
        <v>5.3544656243306923E-3</v>
      </c>
      <c r="F201" s="147">
        <f>C201*D201*E201</f>
        <v>2.8557149996430361E-4</v>
      </c>
      <c r="G201" s="29">
        <f>C151</f>
        <v>5336.9708000000001</v>
      </c>
      <c r="H201" s="29">
        <f>TRUNC((F201*G201),2)</f>
        <v>1.52</v>
      </c>
      <c r="I201" s="2"/>
      <c r="J201" s="2"/>
    </row>
    <row r="202" spans="1:10" s="84" customFormat="1">
      <c r="A202" s="760" t="s">
        <v>511</v>
      </c>
      <c r="B202" s="761"/>
      <c r="C202" s="372">
        <f>1/(30*300)</f>
        <v>1.1111111111111112E-4</v>
      </c>
      <c r="D202" s="373">
        <v>16</v>
      </c>
      <c r="E202" s="66">
        <f>1/186.76</f>
        <v>5.3544656243306923E-3</v>
      </c>
      <c r="F202" s="147">
        <f>C202*D202*E202</f>
        <v>9.5190499988101202E-6</v>
      </c>
      <c r="G202" s="29">
        <f>'Supervisor '!I153</f>
        <v>7536.3797000000004</v>
      </c>
      <c r="H202" s="29">
        <f>TRUNC((F202*G202),2)</f>
        <v>7.0000000000000007E-2</v>
      </c>
      <c r="I202" s="368"/>
      <c r="J202" s="2"/>
    </row>
    <row r="203" spans="1:10" s="84" customFormat="1">
      <c r="A203" s="760" t="s">
        <v>24</v>
      </c>
      <c r="B203" s="762"/>
      <c r="C203" s="379"/>
      <c r="D203" s="373"/>
      <c r="E203" s="373"/>
      <c r="F203" s="377"/>
      <c r="G203" s="377"/>
      <c r="H203" s="378">
        <f>TRUNC((H201+H202),2)</f>
        <v>1.59</v>
      </c>
      <c r="I203" s="159"/>
      <c r="J203" s="2"/>
    </row>
    <row r="204" spans="1:10" s="84" customFormat="1">
      <c r="A204" s="143"/>
      <c r="B204" s="143"/>
      <c r="C204" s="143"/>
      <c r="D204" s="143"/>
      <c r="E204" s="143"/>
      <c r="F204" s="143"/>
      <c r="G204" s="143"/>
      <c r="H204" s="2"/>
      <c r="I204" s="2"/>
      <c r="J204" s="2"/>
    </row>
    <row r="205" spans="1:10" s="84" customFormat="1">
      <c r="A205" s="67" t="s">
        <v>592</v>
      </c>
      <c r="B205" s="2"/>
      <c r="C205" s="2"/>
      <c r="D205" s="2"/>
      <c r="E205" s="2"/>
      <c r="F205" s="2"/>
      <c r="G205" s="2"/>
      <c r="H205" s="2"/>
      <c r="I205" s="2"/>
      <c r="J205" s="2"/>
    </row>
    <row r="206" spans="1:10" s="84" customFormat="1" ht="70">
      <c r="A206" s="748" t="s">
        <v>110</v>
      </c>
      <c r="B206" s="749"/>
      <c r="C206" s="68" t="s">
        <v>119</v>
      </c>
      <c r="D206" s="68" t="s">
        <v>120</v>
      </c>
      <c r="E206" s="68" t="s">
        <v>121</v>
      </c>
      <c r="F206" s="68" t="s">
        <v>122</v>
      </c>
      <c r="G206" s="68" t="s">
        <v>123</v>
      </c>
      <c r="H206" s="68" t="s">
        <v>124</v>
      </c>
      <c r="I206" s="2"/>
      <c r="J206" s="2"/>
    </row>
    <row r="207" spans="1:10" s="84" customFormat="1">
      <c r="A207" s="771" t="s">
        <v>114</v>
      </c>
      <c r="B207" s="771"/>
      <c r="C207" s="66">
        <f>1/130</f>
        <v>7.6923076923076927E-3</v>
      </c>
      <c r="D207" s="30">
        <v>8</v>
      </c>
      <c r="E207" s="66">
        <f>1/186.76</f>
        <v>5.3544656243306923E-3</v>
      </c>
      <c r="F207" s="30">
        <f>C207*D207*E207</f>
        <v>3.2950557688188879E-4</v>
      </c>
      <c r="G207" s="29">
        <f>C151</f>
        <v>5336.9708000000001</v>
      </c>
      <c r="H207" s="371">
        <f>TRUNC((F207*G207),2)</f>
        <v>1.75</v>
      </c>
      <c r="I207" s="2"/>
      <c r="J207" s="2"/>
    </row>
    <row r="208" spans="1:10" s="84" customFormat="1">
      <c r="A208" s="760" t="s">
        <v>511</v>
      </c>
      <c r="B208" s="761"/>
      <c r="C208" s="372">
        <f>1/(4*300)</f>
        <v>8.3333333333333339E-4</v>
      </c>
      <c r="D208" s="373">
        <v>8</v>
      </c>
      <c r="E208" s="66">
        <f>1/186.76</f>
        <v>5.3544656243306923E-3</v>
      </c>
      <c r="F208" s="147">
        <f>C208*D208*E208</f>
        <v>3.5696437495537951E-5</v>
      </c>
      <c r="G208" s="374">
        <f>'Supervisor '!I153</f>
        <v>7536.3797000000004</v>
      </c>
      <c r="H208" s="375">
        <f>TRUNC((F208*G208),4)</f>
        <v>0.26900000000000002</v>
      </c>
      <c r="I208" s="2"/>
      <c r="J208" s="2"/>
    </row>
    <row r="209" spans="1:10" s="84" customFormat="1">
      <c r="A209" s="760" t="s">
        <v>24</v>
      </c>
      <c r="B209" s="761"/>
      <c r="C209" s="376"/>
      <c r="D209" s="373"/>
      <c r="E209" s="373"/>
      <c r="F209" s="377"/>
      <c r="G209" s="377"/>
      <c r="H209" s="378">
        <f>TRUNC((H207+H208),4)</f>
        <v>2.0190000000000001</v>
      </c>
      <c r="I209" s="2"/>
      <c r="J209" s="2"/>
    </row>
    <row r="210" spans="1:10" s="84" customFormat="1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s="84" customFormat="1">
      <c r="A211" s="772" t="s">
        <v>115</v>
      </c>
      <c r="B211" s="773"/>
      <c r="C211" s="773"/>
      <c r="D211" s="773"/>
      <c r="E211" s="773"/>
      <c r="F211" s="773"/>
      <c r="G211" s="773"/>
      <c r="H211" s="773"/>
      <c r="I211" s="774"/>
      <c r="J211" s="2"/>
    </row>
    <row r="212" spans="1:10" s="84" customFormat="1">
      <c r="A212" s="743" t="s">
        <v>117</v>
      </c>
      <c r="B212" s="745"/>
      <c r="C212" s="745"/>
      <c r="D212" s="744"/>
      <c r="E212" s="746" t="s">
        <v>116</v>
      </c>
      <c r="F212" s="770"/>
      <c r="G212" s="747"/>
      <c r="H212" s="9" t="s">
        <v>118</v>
      </c>
      <c r="I212" s="9" t="s">
        <v>107</v>
      </c>
      <c r="J212" s="2"/>
    </row>
    <row r="213" spans="1:10" s="84" customFormat="1">
      <c r="A213" s="671" t="s">
        <v>504</v>
      </c>
      <c r="B213" s="672"/>
      <c r="C213" s="672"/>
      <c r="D213" s="673"/>
      <c r="E213" s="753">
        <f>H185</f>
        <v>6.98</v>
      </c>
      <c r="F213" s="751"/>
      <c r="G213" s="752"/>
      <c r="H213" s="22">
        <f>'Limpeza - Imóveis'!U6-'Limpeza - Imóveis'!D6</f>
        <v>319.58999999999997</v>
      </c>
      <c r="I213" s="29">
        <f>E213*H213</f>
        <v>2230.7381999999998</v>
      </c>
      <c r="J213" s="2"/>
    </row>
    <row r="214" spans="1:10" s="84" customFormat="1">
      <c r="A214" s="671" t="s">
        <v>505</v>
      </c>
      <c r="B214" s="672"/>
      <c r="C214" s="672"/>
      <c r="D214" s="673"/>
      <c r="E214" s="753">
        <f>H191</f>
        <v>27.93</v>
      </c>
      <c r="F214" s="763"/>
      <c r="G214" s="754"/>
      <c r="H214" s="22">
        <f>'Limpeza - Imóveis'!D6</f>
        <v>10.86</v>
      </c>
      <c r="I214" s="29">
        <f>E214*H214</f>
        <v>303.31979999999999</v>
      </c>
      <c r="J214" s="2"/>
    </row>
    <row r="215" spans="1:10" s="84" customFormat="1">
      <c r="A215" s="671" t="s">
        <v>506</v>
      </c>
      <c r="B215" s="672"/>
      <c r="C215" s="672"/>
      <c r="D215" s="673"/>
      <c r="E215" s="753">
        <f>H197</f>
        <v>3.09</v>
      </c>
      <c r="F215" s="751"/>
      <c r="G215" s="752"/>
      <c r="H215" s="22">
        <f>'Limpeza - Imóveis'!V6+'Limpeza - Imóveis'!W6+'Limpeza - Imóveis'!X6</f>
        <v>150</v>
      </c>
      <c r="I215" s="29">
        <f t="shared" ref="I215:I218" si="0">E215*H215</f>
        <v>463.5</v>
      </c>
      <c r="J215" s="2"/>
    </row>
    <row r="216" spans="1:10" s="84" customFormat="1">
      <c r="A216" s="671" t="s">
        <v>589</v>
      </c>
      <c r="B216" s="672"/>
      <c r="C216" s="672"/>
      <c r="D216" s="673"/>
      <c r="E216" s="753">
        <f>H203</f>
        <v>1.59</v>
      </c>
      <c r="F216" s="751"/>
      <c r="G216" s="752"/>
      <c r="H216" s="22">
        <f>'Limpeza - Imóveis'!AA6+'Limpeza - Imóveis'!AB6</f>
        <v>94.88</v>
      </c>
      <c r="I216" s="29">
        <f t="shared" si="0"/>
        <v>150.85919999999999</v>
      </c>
      <c r="J216" s="2"/>
    </row>
    <row r="217" spans="1:10" s="84" customFormat="1">
      <c r="A217" s="671" t="s">
        <v>590</v>
      </c>
      <c r="B217" s="672"/>
      <c r="C217" s="672"/>
      <c r="D217" s="673"/>
      <c r="E217" s="753">
        <f>H209</f>
        <v>2.0190000000000001</v>
      </c>
      <c r="F217" s="763"/>
      <c r="G217" s="754"/>
      <c r="H217" s="22">
        <f>'Limpeza - Imóveis'!AC6+'Limpeza - Imóveis'!AD6</f>
        <v>94.88</v>
      </c>
      <c r="I217" s="29">
        <f t="shared" si="0"/>
        <v>191.56272000000001</v>
      </c>
      <c r="J217" s="2"/>
    </row>
    <row r="218" spans="1:10" s="84" customFormat="1">
      <c r="A218" s="671" t="s">
        <v>593</v>
      </c>
      <c r="B218" s="672"/>
      <c r="C218" s="672"/>
      <c r="D218" s="673"/>
      <c r="E218" s="753"/>
      <c r="F218" s="763"/>
      <c r="G218" s="754"/>
      <c r="H218" s="370"/>
      <c r="I218" s="29">
        <f t="shared" si="0"/>
        <v>0</v>
      </c>
      <c r="J218" s="2"/>
    </row>
    <row r="219" spans="1:10" s="84" customFormat="1">
      <c r="A219" s="671" t="s">
        <v>502</v>
      </c>
      <c r="B219" s="672"/>
      <c r="C219" s="672"/>
      <c r="D219" s="673"/>
      <c r="E219" s="753">
        <f>H211</f>
        <v>0</v>
      </c>
      <c r="F219" s="763"/>
      <c r="G219" s="754"/>
      <c r="H219" s="22"/>
      <c r="I219" s="29">
        <f>E219*H219</f>
        <v>0</v>
      </c>
      <c r="J219" s="2"/>
    </row>
    <row r="220" spans="1:10" s="84" customFormat="1">
      <c r="A220" s="684" t="s">
        <v>24</v>
      </c>
      <c r="B220" s="685"/>
      <c r="C220" s="685"/>
      <c r="D220" s="685"/>
      <c r="E220" s="685"/>
      <c r="F220" s="685"/>
      <c r="G220" s="686"/>
      <c r="H220" s="121"/>
      <c r="I220" s="10">
        <f>TRUNC(SUM(I213:I219),4)</f>
        <v>3339.9798999999998</v>
      </c>
      <c r="J220" s="2"/>
    </row>
    <row r="221" spans="1:10" s="84" customFormat="1">
      <c r="J221" s="2"/>
    </row>
    <row r="222" spans="1:10" s="84" customFormat="1">
      <c r="J222" s="2"/>
    </row>
    <row r="223" spans="1:10" s="84" customFormat="1">
      <c r="J223" s="2"/>
    </row>
    <row r="224" spans="1:10" s="84" customFormat="1">
      <c r="J224" s="2"/>
    </row>
    <row r="225" spans="10:10" s="84" customFormat="1">
      <c r="J225" s="2"/>
    </row>
    <row r="226" spans="10:10" s="84" customFormat="1">
      <c r="J226" s="2"/>
    </row>
    <row r="227" spans="10:10" s="84" customFormat="1">
      <c r="J227" s="2"/>
    </row>
    <row r="228" spans="10:10" s="84" customFormat="1">
      <c r="J228" s="2"/>
    </row>
    <row r="229" spans="10:10" s="84" customFormat="1">
      <c r="J229" s="2"/>
    </row>
    <row r="230" spans="10:10" s="84" customFormat="1">
      <c r="J230" s="2"/>
    </row>
    <row r="231" spans="10:10" s="84" customFormat="1">
      <c r="J231" s="2"/>
    </row>
    <row r="232" spans="10:10" s="84" customFormat="1">
      <c r="J232" s="2"/>
    </row>
    <row r="233" spans="10:10" s="84" customFormat="1">
      <c r="J233" s="2"/>
    </row>
    <row r="234" spans="10:10" s="84" customFormat="1">
      <c r="J234" s="2"/>
    </row>
    <row r="235" spans="10:10" s="84" customFormat="1">
      <c r="J235" s="2"/>
    </row>
    <row r="236" spans="10:10" s="84" customFormat="1">
      <c r="J236" s="2"/>
    </row>
    <row r="237" spans="10:10" s="84" customFormat="1">
      <c r="J237" s="2"/>
    </row>
    <row r="238" spans="10:10" s="84" customFormat="1">
      <c r="J238" s="2"/>
    </row>
    <row r="239" spans="10:10" s="84" customFormat="1">
      <c r="J239" s="2"/>
    </row>
    <row r="240" spans="10:10" s="84" customFormat="1">
      <c r="J240" s="2"/>
    </row>
    <row r="241" spans="10:10" s="84" customFormat="1">
      <c r="J241" s="2"/>
    </row>
    <row r="242" spans="10:10" s="84" customFormat="1">
      <c r="J242" s="2"/>
    </row>
    <row r="243" spans="10:10" s="84" customFormat="1">
      <c r="J243" s="2"/>
    </row>
    <row r="244" spans="10:10" s="84" customFormat="1">
      <c r="J244" s="2"/>
    </row>
    <row r="245" spans="10:10" s="84" customFormat="1">
      <c r="J245" s="2"/>
    </row>
    <row r="246" spans="10:10" s="84" customFormat="1">
      <c r="J246" s="2"/>
    </row>
    <row r="247" spans="10:10" s="84" customFormat="1">
      <c r="J247" s="2"/>
    </row>
    <row r="248" spans="10:10" s="84" customFormat="1">
      <c r="J248" s="2"/>
    </row>
    <row r="249" spans="10:10" s="84" customFormat="1">
      <c r="J249" s="2"/>
    </row>
    <row r="250" spans="10:10" s="84" customFormat="1">
      <c r="J250" s="2"/>
    </row>
    <row r="251" spans="10:10" s="84" customFormat="1">
      <c r="J251" s="2"/>
    </row>
    <row r="252" spans="10:10" s="84" customFormat="1">
      <c r="J252" s="2"/>
    </row>
    <row r="253" spans="10:10" s="84" customFormat="1">
      <c r="J253" s="2"/>
    </row>
    <row r="254" spans="10:10" s="84" customFormat="1">
      <c r="J254" s="2"/>
    </row>
    <row r="255" spans="10:10" s="84" customFormat="1">
      <c r="J255" s="2"/>
    </row>
    <row r="256" spans="10:10" s="84" customFormat="1">
      <c r="J256" s="2"/>
    </row>
    <row r="257" spans="10:10" s="84" customFormat="1">
      <c r="J257" s="2"/>
    </row>
    <row r="258" spans="10:10" s="84" customFormat="1">
      <c r="J258" s="2"/>
    </row>
    <row r="259" spans="10:10" s="84" customFormat="1">
      <c r="J259" s="2"/>
    </row>
    <row r="260" spans="10:10" s="84" customFormat="1">
      <c r="J260" s="2"/>
    </row>
    <row r="261" spans="10:10" s="84" customFormat="1">
      <c r="J261" s="2"/>
    </row>
    <row r="262" spans="10:10" s="84" customFormat="1">
      <c r="J262" s="2"/>
    </row>
    <row r="263" spans="10:10" s="84" customFormat="1">
      <c r="J263" s="2"/>
    </row>
    <row r="264" spans="10:10" s="84" customFormat="1">
      <c r="J264" s="2"/>
    </row>
    <row r="265" spans="10:10" s="84" customFormat="1">
      <c r="J265" s="2"/>
    </row>
    <row r="266" spans="10:10" s="84" customFormat="1">
      <c r="J266" s="2"/>
    </row>
    <row r="267" spans="10:10" s="84" customFormat="1">
      <c r="J267" s="2"/>
    </row>
    <row r="268" spans="10:10" s="84" customFormat="1">
      <c r="J268" s="2"/>
    </row>
    <row r="269" spans="10:10" s="84" customFormat="1">
      <c r="J269" s="2"/>
    </row>
    <row r="270" spans="10:10" s="84" customFormat="1">
      <c r="J270" s="2"/>
    </row>
    <row r="271" spans="10:10" s="84" customFormat="1">
      <c r="J271" s="2"/>
    </row>
    <row r="272" spans="10:10" s="84" customFormat="1">
      <c r="J272" s="2"/>
    </row>
    <row r="273" spans="10:10" s="84" customFormat="1">
      <c r="J273" s="2"/>
    </row>
    <row r="274" spans="10:10" s="84" customFormat="1">
      <c r="J274" s="2"/>
    </row>
    <row r="275" spans="10:10" s="84" customFormat="1">
      <c r="J275" s="2"/>
    </row>
    <row r="276" spans="10:10" s="84" customFormat="1">
      <c r="J276" s="2"/>
    </row>
    <row r="277" spans="10:10" s="84" customFormat="1">
      <c r="J277" s="2"/>
    </row>
    <row r="278" spans="10:10" s="84" customFormat="1">
      <c r="J278" s="2"/>
    </row>
    <row r="279" spans="10:10" s="84" customFormat="1">
      <c r="J279" s="2"/>
    </row>
    <row r="280" spans="10:10" s="84" customFormat="1">
      <c r="J280" s="2"/>
    </row>
    <row r="281" spans="10:10" s="84" customFormat="1">
      <c r="J281" s="2"/>
    </row>
    <row r="282" spans="10:10" s="84" customFormat="1">
      <c r="J282" s="2"/>
    </row>
    <row r="283" spans="10:10" s="84" customFormat="1">
      <c r="J283" s="2"/>
    </row>
    <row r="284" spans="10:10" s="84" customFormat="1">
      <c r="J284" s="2"/>
    </row>
    <row r="285" spans="10:10" s="84" customFormat="1">
      <c r="J285" s="2"/>
    </row>
    <row r="286" spans="10:10" s="84" customFormat="1">
      <c r="J286" s="2"/>
    </row>
    <row r="287" spans="10:10" s="84" customFormat="1">
      <c r="J287" s="2"/>
    </row>
    <row r="288" spans="10:10" s="84" customFormat="1">
      <c r="J288" s="2"/>
    </row>
    <row r="289" spans="10:10" s="84" customFormat="1">
      <c r="J289" s="2"/>
    </row>
    <row r="290" spans="10:10" s="84" customFormat="1">
      <c r="J290" s="2"/>
    </row>
    <row r="291" spans="10:10" s="84" customFormat="1">
      <c r="J291" s="2"/>
    </row>
    <row r="292" spans="10:10" s="84" customFormat="1">
      <c r="J292" s="2"/>
    </row>
    <row r="293" spans="10:10" s="84" customFormat="1">
      <c r="J293" s="2"/>
    </row>
    <row r="294" spans="10:10" s="84" customFormat="1">
      <c r="J294" s="2"/>
    </row>
    <row r="295" spans="10:10" s="84" customFormat="1">
      <c r="J295" s="2"/>
    </row>
    <row r="296" spans="10:10" s="84" customFormat="1">
      <c r="J296" s="2"/>
    </row>
    <row r="297" spans="10:10" s="84" customFormat="1">
      <c r="J297" s="2"/>
    </row>
    <row r="298" spans="10:10" s="84" customFormat="1">
      <c r="J298" s="2"/>
    </row>
    <row r="299" spans="10:10" s="84" customFormat="1">
      <c r="J299" s="2"/>
    </row>
    <row r="300" spans="10:10" s="84" customFormat="1">
      <c r="J300" s="2"/>
    </row>
    <row r="301" spans="10:10" s="84" customFormat="1">
      <c r="J301" s="2"/>
    </row>
    <row r="302" spans="10:10" s="84" customFormat="1">
      <c r="J302" s="2"/>
    </row>
    <row r="303" spans="10:10" s="84" customFormat="1">
      <c r="J303" s="2"/>
    </row>
    <row r="304" spans="10:10" s="84" customFormat="1">
      <c r="J304" s="2"/>
    </row>
    <row r="305" spans="10:10" s="84" customFormat="1">
      <c r="J305" s="2"/>
    </row>
    <row r="306" spans="10:10" s="84" customFormat="1">
      <c r="J306" s="2"/>
    </row>
    <row r="307" spans="10:10" s="84" customFormat="1">
      <c r="J307" s="2"/>
    </row>
    <row r="308" spans="10:10" s="84" customFormat="1">
      <c r="J308" s="2"/>
    </row>
    <row r="309" spans="10:10" s="84" customFormat="1">
      <c r="J309" s="2"/>
    </row>
    <row r="310" spans="10:10" s="84" customFormat="1">
      <c r="J310" s="2"/>
    </row>
    <row r="311" spans="10:10" s="84" customFormat="1">
      <c r="J311" s="2"/>
    </row>
    <row r="312" spans="10:10" s="84" customFormat="1">
      <c r="J312" s="2"/>
    </row>
    <row r="313" spans="10:10" s="84" customFormat="1">
      <c r="J313" s="2"/>
    </row>
    <row r="314" spans="10:10" s="84" customFormat="1">
      <c r="J314" s="2"/>
    </row>
    <row r="315" spans="10:10" s="84" customFormat="1">
      <c r="J315" s="2"/>
    </row>
    <row r="316" spans="10:10" s="84" customFormat="1">
      <c r="J316" s="2"/>
    </row>
    <row r="317" spans="10:10" s="84" customFormat="1">
      <c r="J317" s="2"/>
    </row>
    <row r="318" spans="10:10" s="84" customFormat="1">
      <c r="J318" s="2"/>
    </row>
    <row r="319" spans="10:10" s="84" customFormat="1">
      <c r="J319" s="2"/>
    </row>
    <row r="320" spans="10:10" s="84" customFormat="1">
      <c r="J320" s="2"/>
    </row>
    <row r="321" spans="10:10" s="84" customFormat="1">
      <c r="J321" s="2"/>
    </row>
    <row r="322" spans="10:10" s="84" customFormat="1">
      <c r="J322" s="2"/>
    </row>
    <row r="323" spans="10:10" s="84" customFormat="1">
      <c r="J323" s="2"/>
    </row>
    <row r="324" spans="10:10" s="84" customFormat="1">
      <c r="J324" s="2"/>
    </row>
    <row r="325" spans="10:10" s="84" customFormat="1">
      <c r="J325" s="2"/>
    </row>
    <row r="326" spans="10:10" s="84" customFormat="1">
      <c r="J326" s="2"/>
    </row>
    <row r="327" spans="10:10" s="84" customFormat="1">
      <c r="J327" s="2"/>
    </row>
    <row r="328" spans="10:10" s="84" customFormat="1">
      <c r="J328" s="2"/>
    </row>
    <row r="329" spans="10:10" s="84" customFormat="1">
      <c r="J329" s="2"/>
    </row>
    <row r="330" spans="10:10" s="84" customFormat="1">
      <c r="J330" s="2"/>
    </row>
    <row r="331" spans="10:10" s="84" customFormat="1">
      <c r="J331" s="2"/>
    </row>
    <row r="332" spans="10:10" s="84" customFormat="1">
      <c r="J332" s="2"/>
    </row>
    <row r="333" spans="10:10" s="84" customFormat="1">
      <c r="J333" s="2"/>
    </row>
    <row r="334" spans="10:10" s="84" customFormat="1">
      <c r="J334" s="2"/>
    </row>
    <row r="335" spans="10:10" s="84" customFormat="1">
      <c r="J335" s="2"/>
    </row>
    <row r="336" spans="10:10" s="84" customFormat="1">
      <c r="J336" s="2"/>
    </row>
    <row r="337" spans="10:10" s="84" customFormat="1">
      <c r="J337" s="2"/>
    </row>
    <row r="338" spans="10:10" s="84" customFormat="1">
      <c r="J338" s="2"/>
    </row>
    <row r="339" spans="10:10" s="84" customFormat="1">
      <c r="J339" s="2"/>
    </row>
    <row r="340" spans="10:10" s="84" customFormat="1">
      <c r="J340" s="2"/>
    </row>
    <row r="341" spans="10:10" s="84" customFormat="1">
      <c r="J341" s="2"/>
    </row>
    <row r="342" spans="10:10" s="84" customFormat="1">
      <c r="J342" s="2"/>
    </row>
    <row r="343" spans="10:10" s="84" customFormat="1">
      <c r="J343" s="2"/>
    </row>
    <row r="344" spans="10:10" s="84" customFormat="1">
      <c r="J344" s="2"/>
    </row>
    <row r="345" spans="10:10" s="84" customFormat="1">
      <c r="J345" s="2"/>
    </row>
    <row r="346" spans="10:10" s="84" customFormat="1">
      <c r="J346" s="2"/>
    </row>
    <row r="347" spans="10:10" s="84" customFormat="1">
      <c r="J347" s="2"/>
    </row>
    <row r="348" spans="10:10" s="84" customFormat="1">
      <c r="J348" s="2"/>
    </row>
    <row r="349" spans="10:10" s="84" customFormat="1">
      <c r="J349" s="2"/>
    </row>
    <row r="350" spans="10:10" s="84" customFormat="1">
      <c r="J350" s="2"/>
    </row>
    <row r="351" spans="10:10" s="84" customFormat="1">
      <c r="J351" s="2"/>
    </row>
    <row r="352" spans="10:10" s="84" customFormat="1">
      <c r="J352" s="2"/>
    </row>
    <row r="353" spans="10:10" s="84" customFormat="1">
      <c r="J353" s="2"/>
    </row>
    <row r="354" spans="10:10" s="84" customFormat="1">
      <c r="J354" s="2"/>
    </row>
    <row r="355" spans="10:10" s="84" customFormat="1">
      <c r="J355" s="2"/>
    </row>
    <row r="356" spans="10:10" s="84" customFormat="1">
      <c r="J356" s="2"/>
    </row>
    <row r="357" spans="10:10" s="84" customFormat="1">
      <c r="J357" s="2"/>
    </row>
    <row r="358" spans="10:10" s="84" customFormat="1">
      <c r="J358" s="2"/>
    </row>
    <row r="359" spans="10:10" s="84" customFormat="1">
      <c r="J359" s="2"/>
    </row>
    <row r="360" spans="10:10" s="84" customFormat="1">
      <c r="J360" s="2"/>
    </row>
    <row r="361" spans="10:10" s="84" customFormat="1">
      <c r="J361" s="2"/>
    </row>
    <row r="362" spans="10:10" s="84" customFormat="1">
      <c r="J362" s="2"/>
    </row>
    <row r="363" spans="10:10" s="84" customFormat="1">
      <c r="J363" s="2"/>
    </row>
    <row r="364" spans="10:10" s="84" customFormat="1">
      <c r="J364" s="2"/>
    </row>
    <row r="365" spans="10:10" s="84" customFormat="1">
      <c r="J365" s="2"/>
    </row>
    <row r="366" spans="10:10" s="84" customFormat="1">
      <c r="J366" s="2"/>
    </row>
    <row r="367" spans="10:10" s="84" customFormat="1">
      <c r="J367" s="2"/>
    </row>
    <row r="368" spans="10:10" s="84" customFormat="1">
      <c r="J368" s="2"/>
    </row>
    <row r="369" spans="10:10" s="84" customFormat="1">
      <c r="J369" s="2"/>
    </row>
    <row r="370" spans="10:10" s="84" customFormat="1">
      <c r="J370" s="2"/>
    </row>
    <row r="371" spans="10:10" s="84" customFormat="1">
      <c r="J371" s="2"/>
    </row>
    <row r="372" spans="10:10" s="84" customFormat="1">
      <c r="J372" s="2"/>
    </row>
    <row r="373" spans="10:10" s="84" customFormat="1">
      <c r="J373" s="2"/>
    </row>
    <row r="374" spans="10:10" s="84" customFormat="1">
      <c r="J374" s="2"/>
    </row>
    <row r="375" spans="10:10" s="84" customFormat="1">
      <c r="J375" s="2"/>
    </row>
    <row r="376" spans="10:10" s="84" customFormat="1">
      <c r="J376" s="2"/>
    </row>
    <row r="377" spans="10:10" s="84" customFormat="1">
      <c r="J377" s="2"/>
    </row>
    <row r="378" spans="10:10" s="84" customFormat="1">
      <c r="J378" s="2"/>
    </row>
    <row r="379" spans="10:10" s="84" customFormat="1">
      <c r="J379" s="2"/>
    </row>
    <row r="380" spans="10:10" s="84" customFormat="1">
      <c r="J380" s="2"/>
    </row>
    <row r="381" spans="10:10" s="84" customFormat="1">
      <c r="J381" s="2"/>
    </row>
    <row r="382" spans="10:10" s="84" customFormat="1">
      <c r="J382" s="2"/>
    </row>
    <row r="383" spans="10:10" s="84" customFormat="1">
      <c r="J383" s="2"/>
    </row>
    <row r="384" spans="10:10" s="84" customFormat="1">
      <c r="J384" s="2"/>
    </row>
    <row r="385" spans="10:10" s="84" customFormat="1">
      <c r="J385" s="2"/>
    </row>
    <row r="386" spans="10:10" s="84" customFormat="1">
      <c r="J386" s="2"/>
    </row>
    <row r="387" spans="10:10" s="84" customFormat="1">
      <c r="J387" s="2"/>
    </row>
    <row r="388" spans="10:10" s="84" customFormat="1">
      <c r="J388" s="2"/>
    </row>
    <row r="389" spans="10:10" s="84" customFormat="1">
      <c r="J389" s="2"/>
    </row>
    <row r="390" spans="10:10" s="84" customFormat="1">
      <c r="J390" s="2"/>
    </row>
    <row r="391" spans="10:10" s="84" customFormat="1">
      <c r="J391" s="2"/>
    </row>
    <row r="392" spans="10:10" s="84" customFormat="1">
      <c r="J392" s="2"/>
    </row>
    <row r="393" spans="10:10" s="84" customFormat="1">
      <c r="J393" s="2"/>
    </row>
    <row r="394" spans="10:10" s="84" customFormat="1">
      <c r="J394" s="2"/>
    </row>
    <row r="395" spans="10:10" s="84" customFormat="1">
      <c r="J395" s="2"/>
    </row>
    <row r="396" spans="10:10" s="84" customFormat="1">
      <c r="J396" s="2"/>
    </row>
    <row r="397" spans="10:10" s="84" customFormat="1">
      <c r="J397" s="2"/>
    </row>
    <row r="398" spans="10:10" s="84" customFormat="1">
      <c r="J398" s="2"/>
    </row>
    <row r="399" spans="10:10" s="84" customFormat="1">
      <c r="J399" s="2"/>
    </row>
    <row r="400" spans="10:10" s="84" customFormat="1">
      <c r="J400" s="2"/>
    </row>
    <row r="401" spans="10:10" s="84" customFormat="1">
      <c r="J401" s="2"/>
    </row>
    <row r="402" spans="10:10" s="84" customFormat="1">
      <c r="J402" s="2"/>
    </row>
    <row r="403" spans="10:10" s="84" customFormat="1">
      <c r="J403" s="2"/>
    </row>
    <row r="404" spans="10:10" s="84" customFormat="1">
      <c r="J404" s="2"/>
    </row>
    <row r="405" spans="10:10" s="84" customFormat="1">
      <c r="J405" s="2"/>
    </row>
    <row r="406" spans="10:10" s="84" customFormat="1">
      <c r="J406" s="2"/>
    </row>
    <row r="407" spans="10:10" s="84" customFormat="1">
      <c r="J407" s="2"/>
    </row>
    <row r="408" spans="10:10" s="84" customFormat="1">
      <c r="J408" s="2"/>
    </row>
    <row r="409" spans="10:10" s="84" customFormat="1">
      <c r="J409" s="2"/>
    </row>
    <row r="410" spans="10:10" s="84" customFormat="1">
      <c r="J410" s="2"/>
    </row>
    <row r="411" spans="10:10" s="84" customFormat="1">
      <c r="J411" s="2"/>
    </row>
    <row r="412" spans="10:10" s="84" customFormat="1">
      <c r="J412" s="2"/>
    </row>
    <row r="413" spans="10:10" s="84" customFormat="1">
      <c r="J413" s="2"/>
    </row>
    <row r="414" spans="10:10" s="84" customFormat="1">
      <c r="J414" s="2"/>
    </row>
    <row r="415" spans="10:10" s="84" customFormat="1">
      <c r="J415" s="2"/>
    </row>
    <row r="416" spans="10:10" s="84" customFormat="1">
      <c r="J416" s="2"/>
    </row>
    <row r="417" spans="10:10" s="84" customFormat="1">
      <c r="J417" s="2"/>
    </row>
    <row r="418" spans="10:10" s="84" customFormat="1">
      <c r="J418" s="2"/>
    </row>
    <row r="419" spans="10:10" s="84" customFormat="1">
      <c r="J419" s="2"/>
    </row>
    <row r="420" spans="10:10" s="84" customFormat="1">
      <c r="J420" s="2"/>
    </row>
    <row r="421" spans="10:10" s="84" customFormat="1">
      <c r="J421" s="2"/>
    </row>
    <row r="422" spans="10:10" s="84" customFormat="1">
      <c r="J422" s="2"/>
    </row>
    <row r="423" spans="10:10" s="84" customFormat="1">
      <c r="J423" s="2"/>
    </row>
    <row r="424" spans="10:10" s="84" customFormat="1">
      <c r="J424" s="2"/>
    </row>
    <row r="425" spans="10:10" s="84" customFormat="1">
      <c r="J425" s="2"/>
    </row>
    <row r="426" spans="10:10" s="84" customFormat="1">
      <c r="J426" s="2"/>
    </row>
    <row r="427" spans="10:10" s="84" customFormat="1">
      <c r="J427" s="2"/>
    </row>
    <row r="428" spans="10:10" s="84" customFormat="1">
      <c r="J428" s="2"/>
    </row>
    <row r="429" spans="10:10" s="84" customFormat="1">
      <c r="J429" s="2"/>
    </row>
    <row r="430" spans="10:10" s="84" customFormat="1">
      <c r="J430" s="2"/>
    </row>
    <row r="431" spans="10:10" s="84" customFormat="1">
      <c r="J431" s="2"/>
    </row>
    <row r="432" spans="10:10" s="84" customFormat="1">
      <c r="J432" s="2"/>
    </row>
    <row r="433" spans="10:10" s="84" customFormat="1">
      <c r="J433" s="2"/>
    </row>
    <row r="434" spans="10:10" s="84" customFormat="1">
      <c r="J434" s="2"/>
    </row>
    <row r="435" spans="10:10" s="84" customFormat="1">
      <c r="J435" s="2"/>
    </row>
    <row r="436" spans="10:10" s="84" customFormat="1">
      <c r="J436" s="2"/>
    </row>
    <row r="437" spans="10:10" s="84" customFormat="1">
      <c r="J437" s="2"/>
    </row>
    <row r="438" spans="10:10" s="84" customFormat="1">
      <c r="J438" s="2"/>
    </row>
    <row r="439" spans="10:10" s="84" customFormat="1">
      <c r="J439" s="2"/>
    </row>
    <row r="440" spans="10:10" s="84" customFormat="1">
      <c r="J440" s="2"/>
    </row>
    <row r="441" spans="10:10" s="84" customFormat="1">
      <c r="J441" s="2"/>
    </row>
    <row r="442" spans="10:10" s="84" customFormat="1">
      <c r="J442" s="2"/>
    </row>
    <row r="443" spans="10:10" s="84" customFormat="1">
      <c r="J443" s="2"/>
    </row>
    <row r="444" spans="10:10" s="84" customFormat="1">
      <c r="J444" s="2"/>
    </row>
    <row r="445" spans="10:10" s="84" customFormat="1">
      <c r="J445" s="2"/>
    </row>
    <row r="446" spans="10:10" s="84" customFormat="1">
      <c r="J446" s="2"/>
    </row>
    <row r="447" spans="10:10" s="84" customFormat="1">
      <c r="J447" s="2"/>
    </row>
    <row r="448" spans="10:10" s="84" customFormat="1">
      <c r="J448" s="2"/>
    </row>
    <row r="449" spans="10:10" s="84" customFormat="1">
      <c r="J449" s="2"/>
    </row>
    <row r="450" spans="10:10" s="84" customFormat="1">
      <c r="J450" s="2"/>
    </row>
    <row r="451" spans="10:10" s="84" customFormat="1">
      <c r="J451" s="2"/>
    </row>
    <row r="452" spans="10:10" s="84" customFormat="1">
      <c r="J452" s="2"/>
    </row>
    <row r="453" spans="10:10" s="84" customFormat="1">
      <c r="J453" s="2"/>
    </row>
    <row r="454" spans="10:10" s="84" customFormat="1">
      <c r="J454" s="2"/>
    </row>
    <row r="455" spans="10:10" s="84" customFormat="1">
      <c r="J455" s="2"/>
    </row>
    <row r="456" spans="10:10" s="84" customFormat="1">
      <c r="J456" s="2"/>
    </row>
    <row r="457" spans="10:10" s="84" customFormat="1">
      <c r="J457" s="2"/>
    </row>
    <row r="458" spans="10:10" s="84" customFormat="1">
      <c r="J458" s="2"/>
    </row>
    <row r="459" spans="10:10" s="84" customFormat="1">
      <c r="J459" s="2"/>
    </row>
    <row r="460" spans="10:10" s="84" customFormat="1">
      <c r="J460" s="2"/>
    </row>
    <row r="461" spans="10:10" s="84" customFormat="1">
      <c r="J461" s="2"/>
    </row>
    <row r="462" spans="10:10" s="84" customFormat="1">
      <c r="J462" s="2"/>
    </row>
    <row r="463" spans="10:10" s="84" customFormat="1">
      <c r="J463" s="2"/>
    </row>
    <row r="464" spans="10:10" s="84" customFormat="1">
      <c r="J464" s="2"/>
    </row>
    <row r="465" spans="10:10" s="84" customFormat="1">
      <c r="J465" s="2"/>
    </row>
    <row r="466" spans="10:10" s="84" customFormat="1">
      <c r="J466" s="2"/>
    </row>
    <row r="467" spans="10:10" s="84" customFormat="1">
      <c r="J467" s="2"/>
    </row>
    <row r="468" spans="10:10" s="84" customFormat="1">
      <c r="J468" s="2"/>
    </row>
    <row r="469" spans="10:10" s="84" customFormat="1">
      <c r="J469" s="2"/>
    </row>
    <row r="470" spans="10:10" s="84" customFormat="1">
      <c r="J470" s="2"/>
    </row>
    <row r="471" spans="10:10" s="84" customFormat="1">
      <c r="J471" s="2"/>
    </row>
    <row r="472" spans="10:10" s="84" customFormat="1">
      <c r="J472" s="2"/>
    </row>
    <row r="473" spans="10:10" s="84" customFormat="1">
      <c r="J473" s="2"/>
    </row>
    <row r="474" spans="10:10" s="84" customFormat="1">
      <c r="J474" s="2"/>
    </row>
    <row r="475" spans="10:10" s="84" customFormat="1">
      <c r="J475" s="2"/>
    </row>
    <row r="476" spans="10:10" s="84" customFormat="1">
      <c r="J476" s="2"/>
    </row>
    <row r="477" spans="10:10" s="84" customFormat="1">
      <c r="J477" s="2"/>
    </row>
    <row r="478" spans="10:10" s="84" customFormat="1">
      <c r="J478" s="2"/>
    </row>
    <row r="479" spans="10:10" s="84" customFormat="1">
      <c r="J479" s="2"/>
    </row>
    <row r="480" spans="10:10" s="84" customFormat="1">
      <c r="J480" s="2"/>
    </row>
    <row r="481" spans="10:10" s="84" customFormat="1">
      <c r="J481" s="2"/>
    </row>
    <row r="482" spans="10:10" s="84" customFormat="1">
      <c r="J482" s="2"/>
    </row>
    <row r="483" spans="10:10" s="84" customFormat="1">
      <c r="J483" s="2"/>
    </row>
    <row r="484" spans="10:10" s="84" customFormat="1">
      <c r="J484" s="2"/>
    </row>
    <row r="485" spans="10:10" s="84" customFormat="1">
      <c r="J485" s="2"/>
    </row>
    <row r="486" spans="10:10" s="84" customFormat="1">
      <c r="J486" s="2"/>
    </row>
    <row r="487" spans="10:10" s="84" customFormat="1">
      <c r="J487" s="2"/>
    </row>
    <row r="488" spans="10:10" s="84" customFormat="1">
      <c r="J488" s="2"/>
    </row>
    <row r="489" spans="10:10" s="84" customFormat="1">
      <c r="J489" s="2"/>
    </row>
    <row r="490" spans="10:10" s="84" customFormat="1">
      <c r="J490" s="2"/>
    </row>
    <row r="491" spans="10:10" s="84" customFormat="1">
      <c r="J491" s="2"/>
    </row>
    <row r="492" spans="10:10" s="84" customFormat="1">
      <c r="J492" s="2"/>
    </row>
    <row r="493" spans="10:10" s="84" customFormat="1">
      <c r="J493" s="2"/>
    </row>
    <row r="494" spans="10:10" s="84" customFormat="1">
      <c r="J494" s="2"/>
    </row>
    <row r="495" spans="10:10" s="84" customFormat="1">
      <c r="J495" s="2"/>
    </row>
    <row r="496" spans="10:10" s="84" customFormat="1">
      <c r="J496" s="2"/>
    </row>
    <row r="497" spans="10:10" s="84" customFormat="1">
      <c r="J497" s="2"/>
    </row>
    <row r="498" spans="10:10" s="84" customFormat="1">
      <c r="J498" s="2"/>
    </row>
    <row r="499" spans="10:10" s="84" customFormat="1">
      <c r="J499" s="2"/>
    </row>
    <row r="500" spans="10:10" s="84" customFormat="1">
      <c r="J500" s="2"/>
    </row>
    <row r="501" spans="10:10" s="84" customFormat="1">
      <c r="J501" s="2"/>
    </row>
    <row r="502" spans="10:10" s="84" customFormat="1">
      <c r="J502" s="2"/>
    </row>
    <row r="503" spans="10:10" s="84" customFormat="1">
      <c r="J503" s="2"/>
    </row>
    <row r="504" spans="10:10" s="84" customFormat="1">
      <c r="J504" s="2"/>
    </row>
    <row r="505" spans="10:10" s="84" customFormat="1">
      <c r="J505" s="2"/>
    </row>
    <row r="506" spans="10:10" s="84" customFormat="1">
      <c r="J506" s="2"/>
    </row>
    <row r="507" spans="10:10" s="84" customFormat="1">
      <c r="J507" s="2"/>
    </row>
    <row r="508" spans="10:10" s="84" customFormat="1">
      <c r="J508" s="2"/>
    </row>
    <row r="509" spans="10:10" s="84" customFormat="1">
      <c r="J509" s="2"/>
    </row>
    <row r="510" spans="10:10" s="84" customFormat="1">
      <c r="J510" s="2"/>
    </row>
    <row r="511" spans="10:10" s="84" customFormat="1">
      <c r="J511" s="2"/>
    </row>
    <row r="512" spans="10:10" s="84" customFormat="1">
      <c r="J512" s="2"/>
    </row>
    <row r="513" spans="10:10" s="84" customFormat="1">
      <c r="J513" s="2"/>
    </row>
    <row r="514" spans="10:10" s="84" customFormat="1">
      <c r="J514" s="2"/>
    </row>
    <row r="515" spans="10:10" s="84" customFormat="1">
      <c r="J515" s="2"/>
    </row>
    <row r="516" spans="10:10" s="84" customFormat="1">
      <c r="J516" s="2"/>
    </row>
    <row r="517" spans="10:10" s="84" customFormat="1">
      <c r="J517" s="2"/>
    </row>
    <row r="518" spans="10:10" s="84" customFormat="1">
      <c r="J518" s="2"/>
    </row>
    <row r="519" spans="10:10" s="84" customFormat="1">
      <c r="J519" s="2"/>
    </row>
    <row r="520" spans="10:10" s="84" customFormat="1">
      <c r="J520" s="2"/>
    </row>
    <row r="521" spans="10:10" s="84" customFormat="1">
      <c r="J521" s="2"/>
    </row>
    <row r="522" spans="10:10" s="84" customFormat="1">
      <c r="J522" s="2"/>
    </row>
    <row r="523" spans="10:10" s="84" customFormat="1">
      <c r="J523" s="2"/>
    </row>
    <row r="524" spans="10:10" s="84" customFormat="1">
      <c r="J524" s="2"/>
    </row>
    <row r="525" spans="10:10" s="84" customFormat="1">
      <c r="J525" s="2"/>
    </row>
    <row r="526" spans="10:10" s="84" customFormat="1">
      <c r="J526" s="2"/>
    </row>
    <row r="527" spans="10:10" s="84" customFormat="1">
      <c r="J527" s="2"/>
    </row>
    <row r="528" spans="10:10" s="84" customFormat="1">
      <c r="J528" s="2"/>
    </row>
    <row r="529" spans="10:10" s="84" customFormat="1">
      <c r="J529" s="2"/>
    </row>
    <row r="530" spans="10:10" s="84" customFormat="1">
      <c r="J530" s="2"/>
    </row>
    <row r="531" spans="10:10" s="84" customFormat="1">
      <c r="J531" s="2"/>
    </row>
    <row r="532" spans="10:10" s="84" customFormat="1">
      <c r="J532" s="2"/>
    </row>
    <row r="533" spans="10:10" s="84" customFormat="1">
      <c r="J533" s="2"/>
    </row>
    <row r="534" spans="10:10" s="84" customFormat="1">
      <c r="J534" s="2"/>
    </row>
    <row r="535" spans="10:10" s="84" customFormat="1">
      <c r="J535" s="2"/>
    </row>
    <row r="536" spans="10:10" s="84" customFormat="1">
      <c r="J536" s="2"/>
    </row>
    <row r="537" spans="10:10" s="84" customFormat="1">
      <c r="J537" s="2"/>
    </row>
    <row r="538" spans="10:10" s="84" customFormat="1">
      <c r="J538" s="2"/>
    </row>
    <row r="539" spans="10:10" s="84" customFormat="1">
      <c r="J539" s="2"/>
    </row>
    <row r="540" spans="10:10" s="84" customFormat="1">
      <c r="J540" s="2"/>
    </row>
    <row r="541" spans="10:10" s="84" customFormat="1">
      <c r="J541" s="2"/>
    </row>
    <row r="542" spans="10:10" s="84" customFormat="1">
      <c r="J542" s="2"/>
    </row>
    <row r="543" spans="10:10" s="84" customFormat="1">
      <c r="J543" s="2"/>
    </row>
    <row r="544" spans="10:10" s="84" customFormat="1">
      <c r="J544" s="2"/>
    </row>
    <row r="545" spans="10:10" s="84" customFormat="1">
      <c r="J545" s="2"/>
    </row>
    <row r="546" spans="10:10" s="84" customFormat="1">
      <c r="J546" s="2"/>
    </row>
    <row r="547" spans="10:10" s="84" customFormat="1">
      <c r="J547" s="2"/>
    </row>
    <row r="548" spans="10:10" s="84" customFormat="1">
      <c r="J548" s="2"/>
    </row>
    <row r="549" spans="10:10" s="84" customFormat="1">
      <c r="J549" s="2"/>
    </row>
    <row r="550" spans="10:10" s="84" customFormat="1">
      <c r="J550" s="2"/>
    </row>
    <row r="551" spans="10:10" s="84" customFormat="1">
      <c r="J551" s="2"/>
    </row>
    <row r="552" spans="10:10" s="84" customFormat="1">
      <c r="J552" s="2"/>
    </row>
    <row r="553" spans="10:10" s="84" customFormat="1">
      <c r="J553" s="2"/>
    </row>
    <row r="554" spans="10:10" s="84" customFormat="1">
      <c r="J554" s="2"/>
    </row>
    <row r="555" spans="10:10" s="84" customFormat="1">
      <c r="J555" s="2"/>
    </row>
    <row r="556" spans="10:10" s="84" customFormat="1">
      <c r="J556" s="2"/>
    </row>
    <row r="557" spans="10:10" s="84" customFormat="1">
      <c r="J557" s="2"/>
    </row>
    <row r="558" spans="10:10" s="84" customFormat="1">
      <c r="J558" s="2"/>
    </row>
    <row r="559" spans="10:10" s="84" customFormat="1">
      <c r="J559" s="2"/>
    </row>
    <row r="560" spans="10:10" s="84" customFormat="1">
      <c r="J560" s="2"/>
    </row>
    <row r="561" spans="10:10" s="84" customFormat="1">
      <c r="J561" s="2"/>
    </row>
    <row r="562" spans="10:10" s="84" customFormat="1">
      <c r="J562" s="2"/>
    </row>
    <row r="563" spans="10:10" s="84" customFormat="1">
      <c r="J563" s="2"/>
    </row>
    <row r="564" spans="10:10" s="84" customFormat="1">
      <c r="J564" s="2"/>
    </row>
    <row r="565" spans="10:10" s="84" customFormat="1">
      <c r="J565" s="2"/>
    </row>
    <row r="566" spans="10:10" s="84" customFormat="1">
      <c r="J566" s="2"/>
    </row>
    <row r="567" spans="10:10" s="84" customFormat="1">
      <c r="J567" s="2"/>
    </row>
    <row r="568" spans="10:10" s="84" customFormat="1">
      <c r="J568" s="2"/>
    </row>
    <row r="569" spans="10:10" s="84" customFormat="1">
      <c r="J569" s="2"/>
    </row>
    <row r="570" spans="10:10" s="84" customFormat="1">
      <c r="J570" s="2"/>
    </row>
    <row r="571" spans="10:10" s="84" customFormat="1">
      <c r="J571" s="2"/>
    </row>
    <row r="572" spans="10:10" s="84" customFormat="1">
      <c r="J572" s="2"/>
    </row>
    <row r="573" spans="10:10" s="84" customFormat="1">
      <c r="J573" s="2"/>
    </row>
    <row r="574" spans="10:10" s="84" customFormat="1">
      <c r="J574" s="2"/>
    </row>
    <row r="575" spans="10:10" s="84" customFormat="1">
      <c r="J575" s="2"/>
    </row>
    <row r="576" spans="10:10" s="84" customFormat="1">
      <c r="J576" s="2"/>
    </row>
    <row r="577" spans="10:10" s="84" customFormat="1">
      <c r="J577" s="2"/>
    </row>
    <row r="578" spans="10:10" s="84" customFormat="1">
      <c r="J578" s="2"/>
    </row>
    <row r="579" spans="10:10" s="84" customFormat="1">
      <c r="J579" s="2"/>
    </row>
    <row r="580" spans="10:10" s="84" customFormat="1">
      <c r="J580" s="2"/>
    </row>
    <row r="581" spans="10:10" s="84" customFormat="1">
      <c r="J581" s="2"/>
    </row>
    <row r="582" spans="10:10" s="84" customFormat="1">
      <c r="J582" s="2"/>
    </row>
    <row r="583" spans="10:10" s="84" customFormat="1">
      <c r="J583" s="2"/>
    </row>
    <row r="584" spans="10:10" s="84" customFormat="1">
      <c r="J584" s="2"/>
    </row>
    <row r="585" spans="10:10" s="84" customFormat="1">
      <c r="J585" s="2"/>
    </row>
    <row r="586" spans="10:10" s="84" customFormat="1">
      <c r="J586" s="2"/>
    </row>
    <row r="587" spans="10:10" s="84" customFormat="1">
      <c r="J587" s="2"/>
    </row>
    <row r="588" spans="10:10" s="84" customFormat="1">
      <c r="J588" s="2"/>
    </row>
    <row r="589" spans="10:10" s="84" customFormat="1">
      <c r="J589" s="2"/>
    </row>
    <row r="590" spans="10:10" s="84" customFormat="1">
      <c r="J590" s="2"/>
    </row>
    <row r="591" spans="10:10" s="84" customFormat="1">
      <c r="J591" s="2"/>
    </row>
    <row r="592" spans="10:10" s="84" customFormat="1">
      <c r="J592" s="2"/>
    </row>
    <row r="593" spans="10:10" s="84" customFormat="1">
      <c r="J593" s="2"/>
    </row>
    <row r="594" spans="10:10" s="84" customFormat="1">
      <c r="J594" s="2"/>
    </row>
    <row r="595" spans="10:10" s="84" customFormat="1">
      <c r="J595" s="2"/>
    </row>
    <row r="596" spans="10:10" s="84" customFormat="1">
      <c r="J596" s="2"/>
    </row>
    <row r="597" spans="10:10" s="84" customFormat="1">
      <c r="J597" s="2"/>
    </row>
    <row r="598" spans="10:10" s="84" customFormat="1">
      <c r="J598" s="2"/>
    </row>
    <row r="599" spans="10:10" s="84" customFormat="1">
      <c r="J599" s="2"/>
    </row>
    <row r="600" spans="10:10" s="84" customFormat="1">
      <c r="J600" s="2"/>
    </row>
    <row r="601" spans="10:10" s="84" customFormat="1">
      <c r="J601" s="2"/>
    </row>
    <row r="602" spans="10:10" s="84" customFormat="1">
      <c r="J602" s="2"/>
    </row>
    <row r="603" spans="10:10" s="84" customFormat="1">
      <c r="J603" s="2"/>
    </row>
    <row r="604" spans="10:10" s="84" customFormat="1">
      <c r="J604" s="2"/>
    </row>
    <row r="605" spans="10:10" s="84" customFormat="1">
      <c r="J605" s="2"/>
    </row>
    <row r="606" spans="10:10" s="84" customFormat="1">
      <c r="J606" s="2"/>
    </row>
    <row r="607" spans="10:10" s="84" customFormat="1">
      <c r="J607" s="2"/>
    </row>
    <row r="608" spans="10:10" s="84" customFormat="1">
      <c r="J608" s="2"/>
    </row>
    <row r="609" spans="10:10" s="84" customFormat="1">
      <c r="J609" s="2"/>
    </row>
    <row r="610" spans="10:10" s="84" customFormat="1">
      <c r="J610" s="2"/>
    </row>
    <row r="611" spans="10:10" s="84" customFormat="1">
      <c r="J611" s="2"/>
    </row>
    <row r="612" spans="10:10" s="84" customFormat="1">
      <c r="J612" s="2"/>
    </row>
    <row r="613" spans="10:10" s="84" customFormat="1">
      <c r="J613" s="2"/>
    </row>
    <row r="614" spans="10:10" s="84" customFormat="1">
      <c r="J614" s="2"/>
    </row>
    <row r="615" spans="10:10" s="84" customFormat="1">
      <c r="J615" s="2"/>
    </row>
    <row r="616" spans="10:10" s="84" customFormat="1">
      <c r="J616" s="2"/>
    </row>
    <row r="617" spans="10:10" s="84" customFormat="1">
      <c r="J617" s="2"/>
    </row>
    <row r="618" spans="10:10" s="84" customFormat="1">
      <c r="J618" s="2"/>
    </row>
    <row r="619" spans="10:10" s="84" customFormat="1">
      <c r="J619" s="2"/>
    </row>
    <row r="620" spans="10:10" s="84" customFormat="1">
      <c r="J620" s="2"/>
    </row>
    <row r="621" spans="10:10" s="84" customFormat="1">
      <c r="J621" s="2"/>
    </row>
    <row r="622" spans="10:10" s="84" customFormat="1">
      <c r="J622" s="2"/>
    </row>
    <row r="623" spans="10:10" s="84" customFormat="1">
      <c r="J623" s="2"/>
    </row>
    <row r="624" spans="10:10" s="84" customFormat="1">
      <c r="J624" s="2"/>
    </row>
    <row r="625" spans="10:10" s="84" customFormat="1">
      <c r="J625" s="2"/>
    </row>
    <row r="626" spans="10:10" s="84" customFormat="1">
      <c r="J626" s="2"/>
    </row>
    <row r="627" spans="10:10" s="84" customFormat="1">
      <c r="J627" s="2"/>
    </row>
    <row r="628" spans="10:10" s="84" customFormat="1">
      <c r="J628" s="2"/>
    </row>
    <row r="629" spans="10:10" s="84" customFormat="1">
      <c r="J629" s="2"/>
    </row>
    <row r="630" spans="10:10" s="84" customFormat="1">
      <c r="J630" s="2"/>
    </row>
    <row r="631" spans="10:10" s="84" customFormat="1">
      <c r="J631" s="2"/>
    </row>
    <row r="632" spans="10:10" s="84" customFormat="1">
      <c r="J632" s="2"/>
    </row>
    <row r="633" spans="10:10" s="84" customFormat="1">
      <c r="J633" s="2"/>
    </row>
    <row r="634" spans="10:10" s="84" customFormat="1">
      <c r="J634" s="2"/>
    </row>
    <row r="635" spans="10:10" s="84" customFormat="1">
      <c r="J635" s="2"/>
    </row>
    <row r="636" spans="10:10" s="84" customFormat="1">
      <c r="J636" s="2"/>
    </row>
    <row r="637" spans="10:10" s="84" customFormat="1">
      <c r="J637" s="2"/>
    </row>
    <row r="638" spans="10:10" s="84" customFormat="1">
      <c r="J638" s="2"/>
    </row>
    <row r="639" spans="10:10" s="84" customFormat="1">
      <c r="J639" s="2"/>
    </row>
    <row r="640" spans="10:10" s="84" customFormat="1">
      <c r="J640" s="2"/>
    </row>
    <row r="641" spans="10:10" s="84" customFormat="1">
      <c r="J641" s="2"/>
    </row>
    <row r="642" spans="10:10" s="84" customFormat="1">
      <c r="J642" s="2"/>
    </row>
    <row r="643" spans="10:10" s="84" customFormat="1">
      <c r="J643" s="2"/>
    </row>
    <row r="644" spans="10:10" s="84" customFormat="1">
      <c r="J644" s="2"/>
    </row>
    <row r="645" spans="10:10" s="84" customFormat="1">
      <c r="J645" s="2"/>
    </row>
    <row r="646" spans="10:10" s="84" customFormat="1">
      <c r="J646" s="2"/>
    </row>
    <row r="647" spans="10:10" s="84" customFormat="1">
      <c r="J647" s="2"/>
    </row>
    <row r="648" spans="10:10" s="84" customFormat="1">
      <c r="J648" s="2"/>
    </row>
    <row r="649" spans="10:10" s="84" customFormat="1">
      <c r="J649" s="2"/>
    </row>
    <row r="650" spans="10:10" s="84" customFormat="1">
      <c r="J650" s="2"/>
    </row>
    <row r="651" spans="10:10" s="84" customFormat="1">
      <c r="J651" s="2"/>
    </row>
    <row r="652" spans="10:10" s="84" customFormat="1">
      <c r="J652" s="2"/>
    </row>
    <row r="653" spans="10:10" s="84" customFormat="1">
      <c r="J653" s="2"/>
    </row>
    <row r="654" spans="10:10" s="84" customFormat="1">
      <c r="J654" s="2"/>
    </row>
    <row r="655" spans="10:10" s="84" customFormat="1">
      <c r="J655" s="2"/>
    </row>
    <row r="656" spans="10:10" s="84" customFormat="1">
      <c r="J656" s="2"/>
    </row>
    <row r="657" spans="10:10" s="84" customFormat="1">
      <c r="J657" s="2"/>
    </row>
    <row r="658" spans="10:10" s="84" customFormat="1">
      <c r="J658" s="2"/>
    </row>
    <row r="659" spans="10:10" s="84" customFormat="1">
      <c r="J659" s="2"/>
    </row>
    <row r="660" spans="10:10" s="84" customFormat="1">
      <c r="J660" s="2"/>
    </row>
    <row r="661" spans="10:10" s="84" customFormat="1">
      <c r="J661" s="2"/>
    </row>
    <row r="662" spans="10:10" s="84" customFormat="1">
      <c r="J662" s="2"/>
    </row>
    <row r="663" spans="10:10" s="84" customFormat="1">
      <c r="J663" s="2"/>
    </row>
    <row r="664" spans="10:10" s="84" customFormat="1">
      <c r="J664" s="2"/>
    </row>
    <row r="665" spans="10:10" s="84" customFormat="1">
      <c r="J665" s="2"/>
    </row>
    <row r="666" spans="10:10" s="84" customFormat="1">
      <c r="J666" s="2"/>
    </row>
    <row r="667" spans="10:10" s="84" customFormat="1">
      <c r="J667" s="2"/>
    </row>
    <row r="668" spans="10:10" s="84" customFormat="1">
      <c r="J668" s="2"/>
    </row>
    <row r="669" spans="10:10" s="84" customFormat="1">
      <c r="J669" s="2"/>
    </row>
    <row r="670" spans="10:10" s="84" customFormat="1">
      <c r="J670" s="2"/>
    </row>
    <row r="671" spans="10:10" s="84" customFormat="1">
      <c r="J671" s="2"/>
    </row>
    <row r="672" spans="10:10" s="84" customFormat="1">
      <c r="J672" s="2"/>
    </row>
    <row r="673" spans="10:10" s="84" customFormat="1">
      <c r="J673" s="2"/>
    </row>
    <row r="674" spans="10:10" s="84" customFormat="1">
      <c r="J674" s="2"/>
    </row>
    <row r="675" spans="10:10" s="84" customFormat="1">
      <c r="J675" s="2"/>
    </row>
    <row r="676" spans="10:10" s="84" customFormat="1">
      <c r="J676" s="2"/>
    </row>
    <row r="677" spans="10:10" s="84" customFormat="1">
      <c r="J677" s="2"/>
    </row>
    <row r="678" spans="10:10" s="84" customFormat="1">
      <c r="J678" s="2"/>
    </row>
    <row r="679" spans="10:10" s="84" customFormat="1">
      <c r="J679" s="2"/>
    </row>
    <row r="680" spans="10:10" s="84" customFormat="1">
      <c r="J680" s="2"/>
    </row>
    <row r="681" spans="10:10" s="84" customFormat="1">
      <c r="J681" s="2"/>
    </row>
    <row r="682" spans="10:10" s="84" customFormat="1">
      <c r="J682" s="2"/>
    </row>
    <row r="683" spans="10:10" s="84" customFormat="1">
      <c r="J683" s="2"/>
    </row>
    <row r="684" spans="10:10" s="84" customFormat="1">
      <c r="J684" s="2"/>
    </row>
    <row r="685" spans="10:10" s="84" customFormat="1">
      <c r="J685" s="2"/>
    </row>
    <row r="686" spans="10:10" s="84" customFormat="1">
      <c r="J686" s="2"/>
    </row>
    <row r="687" spans="10:10" s="84" customFormat="1">
      <c r="J687" s="2"/>
    </row>
    <row r="688" spans="10:10" s="84" customFormat="1">
      <c r="J688" s="2"/>
    </row>
    <row r="689" spans="10:10" s="84" customFormat="1">
      <c r="J689" s="2"/>
    </row>
    <row r="690" spans="10:10" s="84" customFormat="1">
      <c r="J690" s="2"/>
    </row>
    <row r="691" spans="10:10" s="84" customFormat="1">
      <c r="J691" s="2"/>
    </row>
    <row r="692" spans="10:10" s="84" customFormat="1">
      <c r="J692" s="2"/>
    </row>
    <row r="693" spans="10:10" s="84" customFormat="1">
      <c r="J693" s="2"/>
    </row>
    <row r="694" spans="10:10" s="84" customFormat="1">
      <c r="J694" s="2"/>
    </row>
    <row r="695" spans="10:10" s="84" customFormat="1">
      <c r="J695" s="2"/>
    </row>
    <row r="696" spans="10:10" s="84" customFormat="1">
      <c r="J696" s="2"/>
    </row>
    <row r="697" spans="10:10" s="84" customFormat="1">
      <c r="J697" s="2"/>
    </row>
    <row r="698" spans="10:10" s="84" customFormat="1">
      <c r="J698" s="2"/>
    </row>
    <row r="699" spans="10:10" s="84" customFormat="1">
      <c r="J699" s="2"/>
    </row>
    <row r="700" spans="10:10" s="84" customFormat="1">
      <c r="J700" s="2"/>
    </row>
    <row r="701" spans="10:10" s="84" customFormat="1">
      <c r="J701" s="2"/>
    </row>
    <row r="702" spans="10:10" s="84" customFormat="1">
      <c r="J702" s="2"/>
    </row>
    <row r="703" spans="10:10" s="84" customFormat="1">
      <c r="J703" s="2"/>
    </row>
    <row r="704" spans="10:10" s="84" customFormat="1">
      <c r="J704" s="2"/>
    </row>
    <row r="705" spans="10:10" s="84" customFormat="1">
      <c r="J705" s="2"/>
    </row>
    <row r="706" spans="10:10" s="84" customFormat="1">
      <c r="J706" s="2"/>
    </row>
    <row r="707" spans="10:10" s="84" customFormat="1">
      <c r="J707" s="2"/>
    </row>
    <row r="708" spans="10:10" s="84" customFormat="1">
      <c r="J708" s="2"/>
    </row>
    <row r="709" spans="10:10" s="84" customFormat="1">
      <c r="J709" s="2"/>
    </row>
    <row r="710" spans="10:10" s="84" customFormat="1">
      <c r="J710" s="2"/>
    </row>
    <row r="711" spans="10:10" s="84" customFormat="1">
      <c r="J711" s="2"/>
    </row>
    <row r="712" spans="10:10" s="84" customFormat="1">
      <c r="J712" s="2"/>
    </row>
    <row r="713" spans="10:10" s="84" customFormat="1">
      <c r="J713" s="2"/>
    </row>
    <row r="714" spans="10:10" s="84" customFormat="1">
      <c r="J714" s="2"/>
    </row>
    <row r="715" spans="10:10" s="84" customFormat="1">
      <c r="J715" s="2"/>
    </row>
    <row r="716" spans="10:10" s="84" customFormat="1">
      <c r="J716" s="2"/>
    </row>
    <row r="717" spans="10:10" s="84" customFormat="1">
      <c r="J717" s="2"/>
    </row>
    <row r="718" spans="10:10" s="84" customFormat="1">
      <c r="J718" s="2"/>
    </row>
    <row r="719" spans="10:10" s="84" customFormat="1">
      <c r="J719" s="2"/>
    </row>
    <row r="720" spans="10:10" s="84" customFormat="1">
      <c r="J720" s="2"/>
    </row>
    <row r="721" spans="10:10" s="84" customFormat="1">
      <c r="J721" s="2"/>
    </row>
    <row r="722" spans="10:10" s="84" customFormat="1">
      <c r="J722" s="2"/>
    </row>
    <row r="723" spans="10:10" s="84" customFormat="1">
      <c r="J723" s="2"/>
    </row>
    <row r="724" spans="10:10" s="84" customFormat="1">
      <c r="J724" s="2"/>
    </row>
    <row r="725" spans="10:10" s="84" customFormat="1">
      <c r="J725" s="2"/>
    </row>
    <row r="726" spans="10:10" s="84" customFormat="1">
      <c r="J726" s="2"/>
    </row>
    <row r="727" spans="10:10" s="84" customFormat="1">
      <c r="J727" s="2"/>
    </row>
    <row r="728" spans="10:10" s="84" customFormat="1">
      <c r="J728" s="2"/>
    </row>
    <row r="729" spans="10:10" s="84" customFormat="1">
      <c r="J729" s="2"/>
    </row>
    <row r="730" spans="10:10" s="84" customFormat="1">
      <c r="J730" s="2"/>
    </row>
    <row r="731" spans="10:10" s="84" customFormat="1">
      <c r="J731" s="2"/>
    </row>
    <row r="732" spans="10:10" s="84" customFormat="1">
      <c r="J732" s="2"/>
    </row>
    <row r="733" spans="10:10" s="84" customFormat="1">
      <c r="J733" s="2"/>
    </row>
    <row r="734" spans="10:10" s="84" customFormat="1">
      <c r="J734" s="2"/>
    </row>
    <row r="735" spans="10:10" s="84" customFormat="1">
      <c r="J735" s="2"/>
    </row>
    <row r="736" spans="10:10" s="84" customFormat="1">
      <c r="J736" s="2"/>
    </row>
    <row r="737" spans="10:10" s="84" customFormat="1">
      <c r="J737" s="2"/>
    </row>
    <row r="738" spans="10:10" s="84" customFormat="1">
      <c r="J738" s="2"/>
    </row>
    <row r="739" spans="10:10" s="84" customFormat="1">
      <c r="J739" s="2"/>
    </row>
    <row r="740" spans="10:10" s="84" customFormat="1">
      <c r="J740" s="2"/>
    </row>
    <row r="741" spans="10:10" s="84" customFormat="1">
      <c r="J741" s="2"/>
    </row>
    <row r="742" spans="10:10" s="84" customFormat="1">
      <c r="J742" s="2"/>
    </row>
    <row r="743" spans="10:10" s="84" customFormat="1">
      <c r="J743" s="2"/>
    </row>
    <row r="744" spans="10:10" s="84" customFormat="1">
      <c r="J744" s="2"/>
    </row>
    <row r="745" spans="10:10" s="84" customFormat="1">
      <c r="J745" s="2"/>
    </row>
    <row r="746" spans="10:10" s="84" customFormat="1">
      <c r="J746" s="2"/>
    </row>
    <row r="747" spans="10:10" s="84" customFormat="1">
      <c r="J747" s="2"/>
    </row>
    <row r="748" spans="10:10" s="84" customFormat="1">
      <c r="J748" s="2"/>
    </row>
    <row r="749" spans="10:10" s="84" customFormat="1">
      <c r="J749" s="2"/>
    </row>
    <row r="750" spans="10:10" s="84" customFormat="1">
      <c r="J750" s="2"/>
    </row>
    <row r="751" spans="10:10" s="84" customFormat="1">
      <c r="J751" s="2"/>
    </row>
    <row r="752" spans="10:10" s="84" customFormat="1">
      <c r="J752" s="2"/>
    </row>
    <row r="753" spans="10:10" s="84" customFormat="1">
      <c r="J753" s="2"/>
    </row>
    <row r="754" spans="10:10" s="84" customFormat="1">
      <c r="J754" s="2"/>
    </row>
    <row r="755" spans="10:10" s="84" customFormat="1">
      <c r="J755" s="2"/>
    </row>
    <row r="756" spans="10:10" s="84" customFormat="1">
      <c r="J756" s="2"/>
    </row>
    <row r="757" spans="10:10" s="84" customFormat="1">
      <c r="J757" s="2"/>
    </row>
    <row r="758" spans="10:10" s="84" customFormat="1">
      <c r="J758" s="2"/>
    </row>
    <row r="759" spans="10:10" s="84" customFormat="1">
      <c r="J759" s="2"/>
    </row>
    <row r="760" spans="10:10" s="84" customFormat="1">
      <c r="J760" s="2"/>
    </row>
    <row r="761" spans="10:10" s="84" customFormat="1">
      <c r="J761" s="2"/>
    </row>
    <row r="762" spans="10:10" s="84" customFormat="1">
      <c r="J762" s="2"/>
    </row>
    <row r="763" spans="10:10" s="84" customFormat="1">
      <c r="J763" s="2"/>
    </row>
    <row r="764" spans="10:10" s="84" customFormat="1">
      <c r="J764" s="2"/>
    </row>
    <row r="765" spans="10:10" s="84" customFormat="1">
      <c r="J765" s="2"/>
    </row>
    <row r="766" spans="10:10" s="84" customFormat="1">
      <c r="J766" s="2"/>
    </row>
    <row r="767" spans="10:10" s="84" customFormat="1">
      <c r="J767" s="2"/>
    </row>
    <row r="768" spans="10:10" s="84" customFormat="1">
      <c r="J768" s="2"/>
    </row>
    <row r="769" spans="10:10" s="84" customFormat="1">
      <c r="J769" s="2"/>
    </row>
    <row r="770" spans="10:10" s="84" customFormat="1">
      <c r="J770" s="2"/>
    </row>
    <row r="771" spans="10:10" s="84" customFormat="1">
      <c r="J771" s="2"/>
    </row>
    <row r="772" spans="10:10" s="84" customFormat="1">
      <c r="J772" s="2"/>
    </row>
    <row r="773" spans="10:10" s="84" customFormat="1">
      <c r="J773" s="2"/>
    </row>
    <row r="774" spans="10:10" s="84" customFormat="1">
      <c r="J774" s="2"/>
    </row>
    <row r="775" spans="10:10" s="84" customFormat="1">
      <c r="J775" s="2"/>
    </row>
    <row r="776" spans="10:10" s="84" customFormat="1">
      <c r="J776" s="2"/>
    </row>
    <row r="777" spans="10:10" s="84" customFormat="1">
      <c r="J777" s="2"/>
    </row>
    <row r="778" spans="10:10" s="84" customFormat="1">
      <c r="J778" s="2"/>
    </row>
    <row r="779" spans="10:10" s="84" customFormat="1">
      <c r="J779" s="2"/>
    </row>
    <row r="780" spans="10:10" s="84" customFormat="1">
      <c r="J780" s="2"/>
    </row>
    <row r="781" spans="10:10" s="84" customFormat="1">
      <c r="J781" s="2"/>
    </row>
    <row r="782" spans="10:10" s="84" customFormat="1">
      <c r="J782" s="2"/>
    </row>
  </sheetData>
  <customSheetViews>
    <customSheetView guid="{7D072CBA-4F2D-4FAE-88D9-B6A678BA20E4}" showPageBreaks="1" printArea="1" view="pageBreakPreview">
      <selection activeCell="I33" sqref="I33"/>
      <rowBreaks count="2" manualBreakCount="2">
        <brk id="81" max="8" man="1"/>
        <brk id="169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25" sqref="I2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84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84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I33" sqref="I33"/>
      <rowBreaks count="2" manualBreakCount="2">
        <brk id="81" max="8" man="1"/>
        <brk id="169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230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42:H142"/>
    <mergeCell ref="B143:H143"/>
    <mergeCell ref="B144:H144"/>
    <mergeCell ref="B145:H145"/>
    <mergeCell ref="B146:H146"/>
    <mergeCell ref="A147:H147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75:G175"/>
    <mergeCell ref="A169:I169"/>
    <mergeCell ref="B170:I170"/>
    <mergeCell ref="B171:H171"/>
    <mergeCell ref="B174:G174"/>
    <mergeCell ref="A177:I177"/>
    <mergeCell ref="A157:D157"/>
    <mergeCell ref="F157:I157"/>
    <mergeCell ref="A158:D158"/>
    <mergeCell ref="F158:I158"/>
    <mergeCell ref="A180:I180"/>
    <mergeCell ref="A181:I181"/>
    <mergeCell ref="A182:B182"/>
    <mergeCell ref="C182:E182"/>
    <mergeCell ref="F182:G182"/>
    <mergeCell ref="H182:I182"/>
    <mergeCell ref="A183:B183"/>
    <mergeCell ref="C183:E183"/>
    <mergeCell ref="F183:G183"/>
    <mergeCell ref="H183:I183"/>
    <mergeCell ref="A184:B184"/>
    <mergeCell ref="C184:E184"/>
    <mergeCell ref="F184:G184"/>
    <mergeCell ref="H184:I184"/>
    <mergeCell ref="A185:B185"/>
    <mergeCell ref="H185:I185"/>
    <mergeCell ref="A187:I187"/>
    <mergeCell ref="A188:B188"/>
    <mergeCell ref="C188:E188"/>
    <mergeCell ref="F188:G188"/>
    <mergeCell ref="H188:I188"/>
    <mergeCell ref="A189:B189"/>
    <mergeCell ref="C189:E189"/>
    <mergeCell ref="F189:G189"/>
    <mergeCell ref="H189:I189"/>
    <mergeCell ref="A190:B190"/>
    <mergeCell ref="C190:E190"/>
    <mergeCell ref="F190:G190"/>
    <mergeCell ref="H190:I190"/>
    <mergeCell ref="A191:B191"/>
    <mergeCell ref="H191:I191"/>
    <mergeCell ref="A193:I193"/>
    <mergeCell ref="A194:B194"/>
    <mergeCell ref="C194:E194"/>
    <mergeCell ref="F194:G194"/>
    <mergeCell ref="H194:I194"/>
    <mergeCell ref="A195:B195"/>
    <mergeCell ref="C195:E195"/>
    <mergeCell ref="F195:G195"/>
    <mergeCell ref="H195:I195"/>
    <mergeCell ref="A196:B196"/>
    <mergeCell ref="C196:E196"/>
    <mergeCell ref="F196:G196"/>
    <mergeCell ref="H196:I196"/>
    <mergeCell ref="A197:B197"/>
    <mergeCell ref="H197:I197"/>
    <mergeCell ref="A199:I199"/>
    <mergeCell ref="A200:B200"/>
    <mergeCell ref="A201:B201"/>
    <mergeCell ref="A202:B202"/>
    <mergeCell ref="A203:B203"/>
    <mergeCell ref="A206:B206"/>
    <mergeCell ref="A207:B207"/>
    <mergeCell ref="A208:B208"/>
    <mergeCell ref="A209:B209"/>
    <mergeCell ref="A211:I211"/>
    <mergeCell ref="A212:D212"/>
    <mergeCell ref="E212:G212"/>
    <mergeCell ref="A218:D218"/>
    <mergeCell ref="E218:G218"/>
    <mergeCell ref="A219:D219"/>
    <mergeCell ref="E219:G219"/>
    <mergeCell ref="A220:G220"/>
    <mergeCell ref="A213:D213"/>
    <mergeCell ref="E213:G213"/>
    <mergeCell ref="A214:D214"/>
    <mergeCell ref="E214:G214"/>
    <mergeCell ref="A215:D215"/>
    <mergeCell ref="E215:G215"/>
    <mergeCell ref="A216:D216"/>
    <mergeCell ref="E216:G216"/>
    <mergeCell ref="A217:D217"/>
    <mergeCell ref="E217:G21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2" manualBreakCount="2">
    <brk id="91" max="9" man="1"/>
    <brk id="167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14">
    <tabColor rgb="FF92D050"/>
  </sheetPr>
  <dimension ref="A1:AA260"/>
  <sheetViews>
    <sheetView view="pageBreakPreview" topLeftCell="B139" zoomScale="93" zoomScaleNormal="96" zoomScaleSheetLayoutView="93" workbookViewId="0">
      <selection activeCell="G170" sqref="G170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2.726562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6.81640625" style="2" customWidth="1"/>
    <col min="10" max="27" width="9.1796875" style="84"/>
    <col min="28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349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71" t="s">
        <v>10</v>
      </c>
      <c r="C23" s="672"/>
      <c r="D23" s="672"/>
      <c r="E23" s="672"/>
      <c r="F23" s="672"/>
      <c r="G23" s="672"/>
      <c r="H23" s="673"/>
      <c r="I23" s="30" t="s">
        <v>36</v>
      </c>
    </row>
    <row r="24" spans="1:9">
      <c r="A24" s="30">
        <v>2</v>
      </c>
      <c r="B24" s="671" t="s">
        <v>41</v>
      </c>
      <c r="C24" s="672"/>
      <c r="D24" s="672"/>
      <c r="E24" s="672"/>
      <c r="F24" s="672"/>
      <c r="G24" s="672"/>
      <c r="H24" s="673"/>
      <c r="I24" s="30" t="s">
        <v>294</v>
      </c>
    </row>
    <row r="25" spans="1:9">
      <c r="A25" s="30">
        <v>3</v>
      </c>
      <c r="B25" s="671" t="s">
        <v>9</v>
      </c>
      <c r="C25" s="672"/>
      <c r="D25" s="672"/>
      <c r="E25" s="672"/>
      <c r="F25" s="672"/>
      <c r="G25" s="672"/>
      <c r="H25" s="673"/>
      <c r="I25" s="176">
        <v>1764</v>
      </c>
    </row>
    <row r="26" spans="1:9">
      <c r="A26" s="30">
        <v>4</v>
      </c>
      <c r="B26" s="671" t="s">
        <v>8</v>
      </c>
      <c r="C26" s="672"/>
      <c r="D26" s="672"/>
      <c r="E26" s="672"/>
      <c r="F26" s="672"/>
      <c r="G26" s="672"/>
      <c r="H26" s="673"/>
      <c r="I26" s="30" t="s">
        <v>37</v>
      </c>
    </row>
    <row r="27" spans="1:9">
      <c r="A27" s="30">
        <v>5</v>
      </c>
      <c r="B27" s="671" t="s">
        <v>7</v>
      </c>
      <c r="C27" s="672"/>
      <c r="D27" s="672"/>
      <c r="E27" s="672"/>
      <c r="F27" s="672"/>
      <c r="G27" s="672"/>
      <c r="H27" s="673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53" t="s">
        <v>30</v>
      </c>
      <c r="B29" s="653"/>
      <c r="C29" s="653"/>
      <c r="D29" s="653"/>
      <c r="E29" s="653"/>
      <c r="F29" s="653"/>
      <c r="G29" s="653"/>
      <c r="H29" s="653"/>
      <c r="I29" s="653"/>
    </row>
    <row r="30" spans="1:9">
      <c r="A30" s="146">
        <v>1</v>
      </c>
      <c r="B30" s="654" t="s">
        <v>19</v>
      </c>
      <c r="C30" s="655"/>
      <c r="D30" s="655"/>
      <c r="E30" s="655"/>
      <c r="F30" s="655"/>
      <c r="G30" s="656"/>
      <c r="H30" s="146" t="s">
        <v>1</v>
      </c>
      <c r="I30" s="146" t="s">
        <v>1</v>
      </c>
    </row>
    <row r="31" spans="1:9">
      <c r="A31" s="9" t="s">
        <v>11</v>
      </c>
      <c r="B31" s="671" t="s">
        <v>33</v>
      </c>
      <c r="C31" s="672"/>
      <c r="D31" s="672"/>
      <c r="E31" s="672"/>
      <c r="F31" s="672"/>
      <c r="G31" s="673"/>
      <c r="H31" s="147"/>
      <c r="I31" s="29">
        <f>(I25/220)*200</f>
        <v>1603.6363636363635</v>
      </c>
    </row>
    <row r="32" spans="1:9">
      <c r="A32" s="9" t="s">
        <v>12</v>
      </c>
      <c r="B32" s="671" t="s">
        <v>314</v>
      </c>
      <c r="C32" s="672"/>
      <c r="D32" s="672"/>
      <c r="E32" s="672"/>
      <c r="F32" s="672"/>
      <c r="G32" s="673"/>
      <c r="H32" s="311">
        <v>122</v>
      </c>
      <c r="I32" s="29">
        <v>122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1725.6362999999999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143.74550378999999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47.972689139999993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191.71809999999999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383.47088000000002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47.933860000000003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57.520631999999999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28.760316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19.173544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11.504126400000001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3.8347088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153.388352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705.58640000000003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167.78181818181821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0" t="s">
        <v>147</v>
      </c>
      <c r="C68" s="660"/>
      <c r="D68" s="660"/>
      <c r="E68" s="660"/>
      <c r="F68" s="660"/>
      <c r="G68" s="660"/>
      <c r="H68" s="71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955.28099999999995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191.71809999999999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705.58640000000003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955.28099999999995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1852.5854999999999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7.1901512499999995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0.57521209999999989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59.36188872000001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33.554039166666662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12.347886413333335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1.0737292533333336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114.10290000000001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307.69372499999997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82.051659999999998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1.3134731270807998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0.67692619499999995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5.2699074694763901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397.00560000000002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397.00560000000002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397.00560000000002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215.12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306.74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1" t="s">
        <v>150</v>
      </c>
      <c r="C127" s="20"/>
      <c r="D127" s="20"/>
      <c r="E127" s="20"/>
      <c r="F127" s="20"/>
      <c r="G127" s="20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34.327758018609742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158.43580623973727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1" t="s">
        <v>141</v>
      </c>
      <c r="C132" s="20"/>
      <c r="D132" s="20"/>
      <c r="E132" s="20"/>
      <c r="F132" s="20"/>
      <c r="G132" s="20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1" t="s">
        <v>152</v>
      </c>
      <c r="C134" s="20"/>
      <c r="D134" s="20"/>
      <c r="E134" s="20"/>
      <c r="F134" s="20"/>
      <c r="G134" s="20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264.0596770662288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978.68320000000006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1725.6362999999999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1852.5854999999999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114.10290000000001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397.00560000000002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4302.5102999999999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978.68320000000006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5281.1935000000003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Limpeza</v>
      </c>
      <c r="B151" s="682"/>
      <c r="C151" s="683">
        <f>(I147-I117)</f>
        <v>5281.1935000000003</v>
      </c>
      <c r="D151" s="683"/>
      <c r="E151" s="72">
        <v>1</v>
      </c>
      <c r="F151" s="683">
        <f>(I147-I117)</f>
        <v>5281.1935000000003</v>
      </c>
      <c r="G151" s="683"/>
      <c r="H151" s="72">
        <v>1</v>
      </c>
      <c r="I151" s="141">
        <f>F151*H151</f>
        <v>5281.1935000000003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5281.1935000000003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63374.322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316</v>
      </c>
      <c r="B158" s="692"/>
      <c r="C158" s="692"/>
      <c r="D158" s="692"/>
      <c r="E158" s="32"/>
      <c r="F158" s="692" t="s">
        <v>440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6</v>
      </c>
      <c r="B160" s="182">
        <v>1</v>
      </c>
      <c r="C160" s="182">
        <v>44</v>
      </c>
      <c r="D160" s="183">
        <f>A160*B160*C160</f>
        <v>264</v>
      </c>
      <c r="E160" s="32"/>
      <c r="F160" s="204">
        <v>26.833300000000001</v>
      </c>
      <c r="G160" s="34">
        <v>1</v>
      </c>
      <c r="H160" s="34">
        <v>30</v>
      </c>
      <c r="I160" s="97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1603.6363636363635</v>
      </c>
      <c r="B163" s="34">
        <v>6</v>
      </c>
      <c r="C163" s="38">
        <f>A163*B163/100</f>
        <v>96.218181818181804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264</v>
      </c>
      <c r="B166" s="50">
        <f>C163</f>
        <v>96.218181818181804</v>
      </c>
      <c r="C166" s="51">
        <f>A166-B166</f>
        <v>167.78181818181821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 s="84" customFormat="1"/>
    <row r="170" spans="1:9" s="84" customFormat="1"/>
    <row r="171" spans="1:9" s="84" customFormat="1"/>
    <row r="172" spans="1:9" s="84" customFormat="1"/>
    <row r="173" spans="1:9" s="84" customFormat="1"/>
    <row r="174" spans="1:9" s="84" customFormat="1" ht="15" customHeight="1"/>
    <row r="175" spans="1:9" s="84" customFormat="1" ht="15.75" customHeight="1"/>
    <row r="176" spans="1:9" s="84" customFormat="1"/>
    <row r="177" s="84" customFormat="1"/>
    <row r="178" s="84" customFormat="1"/>
    <row r="179" s="84" customFormat="1"/>
    <row r="180" s="84" customFormat="1"/>
    <row r="181" s="84" customFormat="1" ht="15" customHeight="1"/>
    <row r="182" s="84" customFormat="1" ht="15" customHeight="1"/>
    <row r="183" s="84" customFormat="1"/>
    <row r="184" s="84" customFormat="1"/>
    <row r="185" s="84" customFormat="1" ht="15" customHeight="1"/>
    <row r="186" s="84" customFormat="1" ht="15" customHeight="1"/>
    <row r="187" s="84" customFormat="1"/>
    <row r="188" s="84" customFormat="1"/>
    <row r="189" s="84" customFormat="1" ht="15" customHeight="1"/>
    <row r="190" s="84" customFormat="1" ht="15" customHeight="1"/>
    <row r="191" s="84" customFormat="1"/>
    <row r="192" s="84" customFormat="1"/>
    <row r="193" s="84" customFormat="1" ht="15" customHeight="1"/>
    <row r="194" s="84" customFormat="1"/>
    <row r="195" s="84" customFormat="1"/>
    <row r="196" s="84" customFormat="1"/>
    <row r="197" s="84" customFormat="1"/>
    <row r="198" s="84" customFormat="1"/>
    <row r="199" s="84" customFormat="1"/>
    <row r="200" s="84" customFormat="1"/>
    <row r="201" s="84" customFormat="1"/>
    <row r="202" s="84" customFormat="1"/>
    <row r="203" s="84" customFormat="1" ht="15" customHeight="1"/>
    <row r="204" s="84" customFormat="1"/>
    <row r="205" s="84" customFormat="1"/>
    <row r="206" s="84" customFormat="1"/>
    <row r="207" s="84" customFormat="1"/>
    <row r="208" s="84" customFormat="1"/>
    <row r="209" s="84" customFormat="1"/>
    <row r="210" s="84" customFormat="1"/>
    <row r="211" s="84" customFormat="1"/>
    <row r="212" s="84" customFormat="1"/>
    <row r="213" s="84" customFormat="1"/>
    <row r="214" s="84" customFormat="1"/>
    <row r="215" s="84" customFormat="1"/>
    <row r="216" s="84" customFormat="1"/>
    <row r="217" s="84" customFormat="1"/>
    <row r="218" s="84" customFormat="1"/>
    <row r="219" s="84" customFormat="1"/>
    <row r="220" s="84" customFormat="1"/>
    <row r="221" s="84" customFormat="1"/>
    <row r="222" s="84" customFormat="1"/>
    <row r="223" s="84" customFormat="1"/>
    <row r="224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</sheetData>
  <customSheetViews>
    <customSheetView guid="{7D072CBA-4F2D-4FAE-88D9-B6A678BA20E4}" showPageBreaks="1" printArea="1" view="pageBreakPreview">
      <selection activeCell="I33" sqref="I33"/>
      <rowBreaks count="2" manualBreakCount="2">
        <brk id="81" max="8" man="1"/>
        <brk id="167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25" sqref="I2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61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61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I33" sqref="I33"/>
      <rowBreaks count="2" manualBreakCount="2">
        <brk id="81" max="8" man="1"/>
        <brk id="167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48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2" manualBreakCount="2">
    <brk id="91" max="9" man="1"/>
    <brk id="167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L222"/>
  <sheetViews>
    <sheetView view="pageBreakPreview" topLeftCell="A202" zoomScaleNormal="96" zoomScaleSheetLayoutView="100" workbookViewId="0">
      <selection activeCell="A206" sqref="A20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6.7265625" style="2" customWidth="1"/>
    <col min="10" max="10" width="9.54296875" style="2" bestFit="1" customWidth="1"/>
    <col min="11" max="16384" width="9.1796875" style="2"/>
  </cols>
  <sheetData>
    <row r="1" spans="1:12" ht="30">
      <c r="A1" s="632" t="s">
        <v>301</v>
      </c>
      <c r="B1" s="632"/>
      <c r="C1" s="632"/>
      <c r="D1" s="632"/>
      <c r="E1" s="632"/>
      <c r="F1" s="632"/>
      <c r="G1" s="632"/>
      <c r="H1" s="632"/>
      <c r="I1" s="632"/>
      <c r="J1" s="2" t="s">
        <v>597</v>
      </c>
      <c r="L1" s="327"/>
    </row>
    <row r="2" spans="1:12">
      <c r="A2" s="84"/>
      <c r="B2" s="84"/>
      <c r="C2" s="84"/>
      <c r="D2" s="84"/>
      <c r="E2" s="84"/>
      <c r="F2" s="84"/>
      <c r="G2" s="84"/>
      <c r="H2" s="84"/>
      <c r="I2" s="84"/>
      <c r="J2" s="2" t="s">
        <v>597</v>
      </c>
    </row>
    <row r="3" spans="1:12">
      <c r="A3" s="169" t="s">
        <v>418</v>
      </c>
      <c r="B3" s="170"/>
      <c r="C3" s="156"/>
      <c r="D3" s="156"/>
      <c r="E3" s="84"/>
      <c r="F3" s="84"/>
      <c r="G3" s="84"/>
      <c r="H3" s="84"/>
      <c r="I3" s="84"/>
      <c r="J3" s="2" t="s">
        <v>597</v>
      </c>
    </row>
    <row r="4" spans="1:12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  <c r="J4" s="2" t="s">
        <v>597</v>
      </c>
    </row>
    <row r="5" spans="1:12">
      <c r="A5" s="84"/>
      <c r="B5" s="84"/>
      <c r="C5" s="84"/>
      <c r="D5" s="84"/>
      <c r="E5" s="84"/>
      <c r="F5" s="84"/>
      <c r="G5" s="84"/>
      <c r="H5" s="84"/>
      <c r="I5" s="84"/>
      <c r="J5" s="2" t="s">
        <v>597</v>
      </c>
    </row>
    <row r="6" spans="1:12">
      <c r="A6" s="633" t="s">
        <v>6</v>
      </c>
      <c r="B6" s="633"/>
      <c r="C6" s="633"/>
      <c r="D6" s="633"/>
      <c r="E6" s="633"/>
      <c r="F6" s="633"/>
      <c r="G6" s="633"/>
      <c r="H6" s="633"/>
      <c r="I6" s="633"/>
      <c r="J6" s="2" t="s">
        <v>597</v>
      </c>
    </row>
    <row r="7" spans="1:12">
      <c r="A7" s="161"/>
      <c r="B7" s="161"/>
      <c r="C7" s="161"/>
      <c r="D7" s="161"/>
      <c r="E7" s="161"/>
      <c r="F7" s="161"/>
      <c r="G7" s="161"/>
      <c r="H7" s="161"/>
      <c r="I7" s="161"/>
      <c r="J7" s="2" t="s">
        <v>597</v>
      </c>
    </row>
    <row r="8" spans="1:12">
      <c r="A8" s="634" t="s">
        <v>128</v>
      </c>
      <c r="B8" s="634"/>
      <c r="C8" s="634"/>
      <c r="D8" s="634"/>
      <c r="E8" s="634"/>
      <c r="F8" s="634"/>
      <c r="G8" s="634"/>
      <c r="H8" s="634"/>
      <c r="I8" s="634"/>
      <c r="J8" s="2" t="s">
        <v>597</v>
      </c>
    </row>
    <row r="9" spans="1:12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  <c r="J9" s="2" t="s">
        <v>597</v>
      </c>
    </row>
    <row r="10" spans="1:12">
      <c r="A10" s="152" t="s">
        <v>12</v>
      </c>
      <c r="B10" s="648" t="s">
        <v>345</v>
      </c>
      <c r="C10" s="648"/>
      <c r="D10" s="648"/>
      <c r="E10" s="648"/>
      <c r="F10" s="648"/>
      <c r="G10" s="648"/>
      <c r="H10" s="648"/>
      <c r="I10" s="30" t="s">
        <v>428</v>
      </c>
      <c r="J10" s="2" t="s">
        <v>597</v>
      </c>
    </row>
    <row r="11" spans="1:12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  <c r="J11" s="2" t="s">
        <v>597</v>
      </c>
    </row>
    <row r="12" spans="1:12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  <c r="J12" s="2" t="s">
        <v>597</v>
      </c>
    </row>
    <row r="13" spans="1:12">
      <c r="A13" s="143"/>
      <c r="B13" s="3"/>
      <c r="C13" s="3"/>
      <c r="D13" s="3"/>
      <c r="E13" s="3"/>
      <c r="F13" s="3"/>
      <c r="G13" s="3"/>
      <c r="H13" s="143"/>
      <c r="I13" s="143"/>
      <c r="J13" s="2" t="s">
        <v>597</v>
      </c>
    </row>
    <row r="14" spans="1:12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  <c r="J14" s="2" t="s">
        <v>597</v>
      </c>
    </row>
    <row r="15" spans="1:12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  <c r="J15" s="2" t="s">
        <v>597</v>
      </c>
    </row>
    <row r="16" spans="1:12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  <c r="J16" s="2" t="s">
        <v>597</v>
      </c>
    </row>
    <row r="17" spans="1:10">
      <c r="A17" s="701"/>
      <c r="B17" s="701"/>
      <c r="C17" s="701"/>
      <c r="D17" s="701"/>
      <c r="E17" s="701"/>
      <c r="F17" s="701"/>
      <c r="G17" s="701"/>
      <c r="H17" s="701"/>
      <c r="I17" s="701"/>
      <c r="J17" s="2" t="s">
        <v>597</v>
      </c>
    </row>
    <row r="18" spans="1:10">
      <c r="A18" s="701"/>
      <c r="B18" s="701"/>
      <c r="C18" s="701"/>
      <c r="D18" s="701"/>
      <c r="E18" s="701"/>
      <c r="F18" s="701"/>
      <c r="G18" s="701"/>
      <c r="H18" s="701"/>
      <c r="I18" s="701"/>
      <c r="J18" s="2" t="s">
        <v>597</v>
      </c>
    </row>
    <row r="19" spans="1:10">
      <c r="A19" s="143"/>
      <c r="B19" s="143"/>
      <c r="C19" s="143"/>
      <c r="D19" s="143"/>
      <c r="E19" s="143"/>
      <c r="F19" s="143"/>
      <c r="G19" s="143"/>
      <c r="H19" s="143"/>
      <c r="I19" s="143"/>
      <c r="J19" s="2" t="s">
        <v>597</v>
      </c>
    </row>
    <row r="20" spans="1:10" ht="15" customHeight="1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  <c r="J20" s="2" t="s">
        <v>597</v>
      </c>
    </row>
    <row r="21" spans="1:10">
      <c r="A21" s="5" t="s">
        <v>98</v>
      </c>
      <c r="B21" s="3"/>
      <c r="C21" s="3"/>
      <c r="D21" s="3"/>
      <c r="E21" s="3"/>
      <c r="F21" s="3"/>
      <c r="G21" s="3"/>
      <c r="H21" s="143"/>
      <c r="I21" s="143"/>
      <c r="J21" s="2" t="s">
        <v>597</v>
      </c>
    </row>
    <row r="22" spans="1:1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2" t="s">
        <v>597</v>
      </c>
    </row>
    <row r="23" spans="1:1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2" t="s">
        <v>597</v>
      </c>
    </row>
    <row r="24" spans="1:1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2" t="s">
        <v>597</v>
      </c>
    </row>
    <row r="25" spans="1:1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2" t="s">
        <v>597</v>
      </c>
    </row>
    <row r="26" spans="1:1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2" t="s">
        <v>597</v>
      </c>
    </row>
    <row r="27" spans="1:1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2" t="s">
        <v>597</v>
      </c>
    </row>
    <row r="28" spans="1:10">
      <c r="A28" s="143"/>
      <c r="B28" s="3"/>
      <c r="C28" s="3"/>
      <c r="D28" s="3"/>
      <c r="E28" s="3"/>
      <c r="F28" s="3"/>
      <c r="G28" s="3"/>
      <c r="H28" s="3"/>
      <c r="I28" s="6"/>
      <c r="J28" s="2" t="s">
        <v>597</v>
      </c>
    </row>
    <row r="29" spans="1:10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2" t="s">
        <v>597</v>
      </c>
    </row>
    <row r="30" spans="1:1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  <c r="J30" s="2" t="s">
        <v>597</v>
      </c>
    </row>
    <row r="31" spans="1:1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(I25)</f>
        <v>1764</v>
      </c>
      <c r="J31" s="2" t="s">
        <v>597</v>
      </c>
    </row>
    <row r="32" spans="1:10">
      <c r="A32" s="9" t="s">
        <v>12</v>
      </c>
      <c r="B32" s="645" t="s">
        <v>313</v>
      </c>
      <c r="C32" s="645"/>
      <c r="D32" s="645"/>
      <c r="E32" s="645"/>
      <c r="F32" s="645"/>
      <c r="G32" s="645"/>
      <c r="H32" s="29">
        <v>0</v>
      </c>
      <c r="I32" s="29">
        <v>122</v>
      </c>
      <c r="J32" s="2" t="s">
        <v>597</v>
      </c>
    </row>
    <row r="33" spans="1:10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  <c r="J33" s="2" t="s">
        <v>597</v>
      </c>
    </row>
    <row r="34" spans="1:10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  <c r="J34" s="2" t="s">
        <v>597</v>
      </c>
    </row>
    <row r="35" spans="1:1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  <c r="J35" s="2" t="s">
        <v>597</v>
      </c>
    </row>
    <row r="36" spans="1:1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  <c r="J36" s="2" t="s">
        <v>597</v>
      </c>
    </row>
    <row r="37" spans="1:1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  <c r="J37" s="2" t="s">
        <v>597</v>
      </c>
    </row>
    <row r="38" spans="1:1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  <c r="J38" s="2" t="s">
        <v>597</v>
      </c>
    </row>
    <row r="39" spans="1:10">
      <c r="A39" s="95"/>
      <c r="B39" s="95"/>
      <c r="C39" s="95"/>
      <c r="D39" s="95"/>
      <c r="E39" s="95"/>
      <c r="F39" s="95"/>
      <c r="G39" s="95"/>
      <c r="H39" s="95"/>
      <c r="I39" s="11"/>
      <c r="J39" s="2" t="s">
        <v>597</v>
      </c>
    </row>
    <row r="40" spans="1:1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2" t="s">
        <v>597</v>
      </c>
    </row>
    <row r="41" spans="1:1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2" t="s">
        <v>597</v>
      </c>
    </row>
    <row r="42" spans="1:1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2" t="s">
        <v>597</v>
      </c>
    </row>
    <row r="43" spans="1:1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  <c r="J43" s="2" t="s">
        <v>597</v>
      </c>
    </row>
    <row r="44" spans="1:1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  <c r="J44" s="2" t="s">
        <v>597</v>
      </c>
    </row>
    <row r="45" spans="1:1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  <c r="J45" s="2" t="s">
        <v>597</v>
      </c>
    </row>
    <row r="46" spans="1:10">
      <c r="A46" s="95"/>
      <c r="B46" s="95"/>
      <c r="C46" s="95"/>
      <c r="D46" s="95"/>
      <c r="E46" s="95"/>
      <c r="F46" s="95"/>
      <c r="G46" s="95"/>
      <c r="H46" s="15"/>
      <c r="I46" s="11"/>
      <c r="J46" s="2" t="s">
        <v>597</v>
      </c>
    </row>
    <row r="47" spans="1:10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2" t="s">
        <v>597</v>
      </c>
    </row>
    <row r="48" spans="1:1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2" t="s">
        <v>597</v>
      </c>
    </row>
    <row r="49" spans="1:1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  <c r="J49" s="2" t="s">
        <v>597</v>
      </c>
    </row>
    <row r="50" spans="1:1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  <c r="J50" s="2" t="s">
        <v>597</v>
      </c>
    </row>
    <row r="51" spans="1:1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  <c r="J51" s="2" t="s">
        <v>597</v>
      </c>
    </row>
    <row r="52" spans="1:1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  <c r="J52" s="2" t="s">
        <v>597</v>
      </c>
    </row>
    <row r="53" spans="1:1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  <c r="J53" s="2" t="s">
        <v>597</v>
      </c>
    </row>
    <row r="54" spans="1:1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  <c r="J54" s="2" t="s">
        <v>597</v>
      </c>
    </row>
    <row r="55" spans="1:1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  <c r="J55" s="2" t="s">
        <v>597</v>
      </c>
    </row>
    <row r="56" spans="1:1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  <c r="J56" s="2" t="s">
        <v>597</v>
      </c>
    </row>
    <row r="57" spans="1:1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  <c r="J57" s="2" t="s">
        <v>597</v>
      </c>
    </row>
    <row r="58" spans="1:10">
      <c r="A58" s="16"/>
      <c r="B58" s="16"/>
      <c r="C58" s="16"/>
      <c r="D58" s="16"/>
      <c r="E58" s="16"/>
      <c r="F58" s="16"/>
      <c r="G58" s="16"/>
      <c r="H58" s="17"/>
      <c r="I58" s="18"/>
      <c r="J58" s="2" t="s">
        <v>597</v>
      </c>
    </row>
    <row r="59" spans="1:1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2" t="s">
        <v>597</v>
      </c>
    </row>
    <row r="60" spans="1:1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2" t="s">
        <v>597</v>
      </c>
    </row>
    <row r="61" spans="1:1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5.75</v>
      </c>
      <c r="I61" s="70">
        <f>C166</f>
        <v>147.16</v>
      </c>
      <c r="J61" s="2" t="s">
        <v>597</v>
      </c>
    </row>
    <row r="62" spans="1:1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  <c r="J62" s="2" t="s">
        <v>597</v>
      </c>
    </row>
    <row r="63" spans="1:1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2" t="s">
        <v>597</v>
      </c>
    </row>
    <row r="64" spans="1:1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2" t="s">
        <v>597</v>
      </c>
    </row>
    <row r="65" spans="1:1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2" t="s">
        <v>597</v>
      </c>
    </row>
    <row r="66" spans="1:1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2" t="s">
        <v>597</v>
      </c>
    </row>
    <row r="67" spans="1:1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2" t="s">
        <v>597</v>
      </c>
    </row>
    <row r="68" spans="1:10">
      <c r="A68" s="9" t="s">
        <v>18</v>
      </c>
      <c r="B68" s="660" t="s">
        <v>147</v>
      </c>
      <c r="C68" s="660"/>
      <c r="D68" s="660"/>
      <c r="E68" s="660"/>
      <c r="F68" s="660"/>
      <c r="G68" s="660"/>
      <c r="H68" s="71">
        <v>0</v>
      </c>
      <c r="I68" s="70">
        <v>0</v>
      </c>
      <c r="J68" s="2" t="s">
        <v>597</v>
      </c>
    </row>
    <row r="69" spans="1:1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2" t="s">
        <v>597</v>
      </c>
    </row>
    <row r="70" spans="1:1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2" t="s">
        <v>597</v>
      </c>
    </row>
    <row r="71" spans="1:1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2" t="s">
        <v>597</v>
      </c>
    </row>
    <row r="72" spans="1:1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2" t="s">
        <v>597</v>
      </c>
    </row>
    <row r="73" spans="1:1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934.65920000000006</v>
      </c>
      <c r="J73" s="2" t="s">
        <v>597</v>
      </c>
    </row>
    <row r="74" spans="1:10">
      <c r="A74" s="95"/>
      <c r="B74" s="95"/>
      <c r="C74" s="95"/>
      <c r="D74" s="95"/>
      <c r="E74" s="95"/>
      <c r="F74" s="95"/>
      <c r="G74" s="95"/>
      <c r="H74" s="95"/>
      <c r="I74" s="11"/>
      <c r="J74" s="2" t="s">
        <v>597</v>
      </c>
    </row>
    <row r="75" spans="1:1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  <c r="J75" s="2" t="s">
        <v>597</v>
      </c>
    </row>
    <row r="76" spans="1:1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  <c r="J76" s="2" t="s">
        <v>597</v>
      </c>
    </row>
    <row r="77" spans="1:1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  <c r="J77" s="2" t="s">
        <v>597</v>
      </c>
    </row>
    <row r="78" spans="1:1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  <c r="J78" s="2" t="s">
        <v>597</v>
      </c>
    </row>
    <row r="79" spans="1:1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934.65920000000006</v>
      </c>
      <c r="J79" s="2" t="s">
        <v>597</v>
      </c>
    </row>
    <row r="80" spans="1:1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1915.3505</v>
      </c>
      <c r="J80" s="2" t="s">
        <v>597</v>
      </c>
    </row>
    <row r="81" spans="1:10">
      <c r="A81" s="668"/>
      <c r="B81" s="669"/>
      <c r="C81" s="669"/>
      <c r="D81" s="669"/>
      <c r="E81" s="669"/>
      <c r="F81" s="669"/>
      <c r="G81" s="669"/>
      <c r="H81" s="669"/>
      <c r="I81" s="669"/>
      <c r="J81" s="2" t="s">
        <v>597</v>
      </c>
    </row>
    <row r="82" spans="1:10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  <c r="J82" s="2" t="s">
        <v>597</v>
      </c>
    </row>
    <row r="83" spans="1:10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  <c r="J83" s="2" t="s">
        <v>597</v>
      </c>
    </row>
    <row r="84" spans="1:10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  <c r="J84" s="2" t="s">
        <v>597</v>
      </c>
    </row>
    <row r="85" spans="1:10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  <c r="J85" s="2" t="s">
        <v>597</v>
      </c>
    </row>
    <row r="86" spans="1:10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  <c r="J86" s="2" t="s">
        <v>597</v>
      </c>
    </row>
    <row r="87" spans="1:10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  <c r="J87" s="2" t="s">
        <v>597</v>
      </c>
    </row>
    <row r="88" spans="1:10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  <c r="J88" s="2" t="s">
        <v>597</v>
      </c>
    </row>
    <row r="89" spans="1:10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  <c r="J89" s="2" t="s">
        <v>597</v>
      </c>
    </row>
    <row r="90" spans="1:10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  <c r="J90" s="2" t="s">
        <v>597</v>
      </c>
    </row>
    <row r="91" spans="1:10">
      <c r="A91" s="668"/>
      <c r="B91" s="669"/>
      <c r="C91" s="669"/>
      <c r="D91" s="669"/>
      <c r="E91" s="669"/>
      <c r="F91" s="669"/>
      <c r="G91" s="669"/>
      <c r="H91" s="669"/>
      <c r="I91" s="669"/>
      <c r="J91" s="2" t="s">
        <v>597</v>
      </c>
    </row>
    <row r="92" spans="1:10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  <c r="J92" s="2" t="s">
        <v>597</v>
      </c>
    </row>
    <row r="93" spans="1:10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  <c r="J93" s="2" t="s">
        <v>597</v>
      </c>
    </row>
    <row r="94" spans="1:10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  <c r="J94" s="2" t="s">
        <v>597</v>
      </c>
    </row>
    <row r="95" spans="1:10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327.17141666666663</v>
      </c>
      <c r="J95" s="2" t="s">
        <v>597</v>
      </c>
    </row>
    <row r="96" spans="1:10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87.245711111111106</v>
      </c>
      <c r="J96" s="2" t="s">
        <v>597</v>
      </c>
    </row>
    <row r="97" spans="1:10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1.3966188739813332</v>
      </c>
      <c r="J97" s="2" t="s">
        <v>597</v>
      </c>
    </row>
    <row r="98" spans="1:10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0.71977711666666666</v>
      </c>
      <c r="J98" s="2" t="s">
        <v>597</v>
      </c>
    </row>
    <row r="99" spans="1:10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5.6035042394538239</v>
      </c>
      <c r="J99" s="2" t="s">
        <v>597</v>
      </c>
    </row>
    <row r="100" spans="1:10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  <c r="J100" s="2" t="s">
        <v>597</v>
      </c>
    </row>
    <row r="101" spans="1:10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422.137</v>
      </c>
      <c r="J101" s="2" t="s">
        <v>597</v>
      </c>
    </row>
    <row r="102" spans="1:10">
      <c r="A102" s="674"/>
      <c r="B102" s="675"/>
      <c r="C102" s="675"/>
      <c r="D102" s="675"/>
      <c r="E102" s="675"/>
      <c r="F102" s="675"/>
      <c r="G102" s="675"/>
      <c r="H102" s="675"/>
      <c r="I102" s="675"/>
      <c r="J102" s="2" t="s">
        <v>597</v>
      </c>
    </row>
    <row r="103" spans="1:10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  <c r="J103" s="2" t="s">
        <v>597</v>
      </c>
    </row>
    <row r="104" spans="1:10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  <c r="J104" s="2" t="s">
        <v>597</v>
      </c>
    </row>
    <row r="105" spans="1:10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  <c r="J105" s="2" t="s">
        <v>597</v>
      </c>
    </row>
    <row r="106" spans="1:10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  <c r="J106" s="2" t="s">
        <v>597</v>
      </c>
    </row>
    <row r="107" spans="1:10">
      <c r="A107" s="94"/>
      <c r="B107" s="94"/>
      <c r="C107" s="94"/>
      <c r="D107" s="94"/>
      <c r="E107" s="94"/>
      <c r="F107" s="94"/>
      <c r="G107" s="94"/>
      <c r="H107" s="94"/>
      <c r="I107" s="94"/>
      <c r="J107" s="2" t="s">
        <v>597</v>
      </c>
    </row>
    <row r="108" spans="1:10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  <c r="J108" s="2" t="s">
        <v>597</v>
      </c>
    </row>
    <row r="109" spans="1:10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  <c r="J109" s="2" t="s">
        <v>597</v>
      </c>
    </row>
    <row r="110" spans="1:10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422.137</v>
      </c>
      <c r="J110" s="2" t="s">
        <v>597</v>
      </c>
    </row>
    <row r="111" spans="1:10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  <c r="J111" s="2" t="s">
        <v>597</v>
      </c>
    </row>
    <row r="112" spans="1:10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422.137</v>
      </c>
      <c r="J112" s="2" t="s">
        <v>597</v>
      </c>
    </row>
    <row r="113" spans="1:10">
      <c r="A113" s="674"/>
      <c r="B113" s="675"/>
      <c r="C113" s="675"/>
      <c r="D113" s="675"/>
      <c r="E113" s="675"/>
      <c r="F113" s="675"/>
      <c r="G113" s="675"/>
      <c r="H113" s="675"/>
      <c r="I113" s="675"/>
      <c r="J113" s="2" t="s">
        <v>597</v>
      </c>
    </row>
    <row r="114" spans="1:10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  <c r="J114" s="2" t="s">
        <v>597</v>
      </c>
    </row>
    <row r="115" spans="1:10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  <c r="J115" s="2" t="s">
        <v>597</v>
      </c>
    </row>
    <row r="116" spans="1:10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  <c r="J116" s="2" t="s">
        <v>597</v>
      </c>
    </row>
    <row r="117" spans="1:10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  <c r="J117" s="2" t="s">
        <v>597</v>
      </c>
    </row>
    <row r="118" spans="1:10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  <c r="J118" s="2" t="s">
        <v>597</v>
      </c>
    </row>
    <row r="119" spans="1:10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  <c r="J119" s="2" t="s">
        <v>597</v>
      </c>
    </row>
    <row r="120" spans="1:10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  <c r="J120" s="2" t="s">
        <v>597</v>
      </c>
    </row>
    <row r="121" spans="1:10">
      <c r="A121" s="16"/>
      <c r="B121" s="16"/>
      <c r="C121" s="16"/>
      <c r="D121" s="16"/>
      <c r="E121" s="16"/>
      <c r="F121" s="16"/>
      <c r="G121" s="16"/>
      <c r="H121" s="17"/>
      <c r="I121" s="18"/>
      <c r="J121" s="2" t="s">
        <v>597</v>
      </c>
    </row>
    <row r="122" spans="1:10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  <c r="J122" s="2" t="s">
        <v>597</v>
      </c>
    </row>
    <row r="123" spans="1:10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  <c r="J123" s="2" t="s">
        <v>597</v>
      </c>
    </row>
    <row r="124" spans="1:10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228.06</v>
      </c>
      <c r="J124" s="2" t="s">
        <v>597</v>
      </c>
    </row>
    <row r="125" spans="1:10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325.2</v>
      </c>
      <c r="J125" s="2" t="s">
        <v>597</v>
      </c>
    </row>
    <row r="126" spans="1:10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  <c r="J126" s="2" t="s">
        <v>597</v>
      </c>
    </row>
    <row r="127" spans="1:10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  <c r="J127" s="2" t="s">
        <v>597</v>
      </c>
    </row>
    <row r="128" spans="1:10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36.393126436781607</v>
      </c>
      <c r="J128" s="2" t="s">
        <v>597</v>
      </c>
    </row>
    <row r="129" spans="1:10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167.96827586206896</v>
      </c>
      <c r="J129" s="2" t="s">
        <v>597</v>
      </c>
    </row>
    <row r="130" spans="1:10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  <c r="J130" s="2" t="s">
        <v>597</v>
      </c>
    </row>
    <row r="131" spans="1:10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  <c r="J131" s="2" t="s">
        <v>597</v>
      </c>
    </row>
    <row r="132" spans="1:10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  <c r="J132" s="2" t="s">
        <v>597</v>
      </c>
    </row>
    <row r="133" spans="1:10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  <c r="J133" s="2" t="s">
        <v>597</v>
      </c>
    </row>
    <row r="134" spans="1:10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  <c r="J134" s="2" t="s">
        <v>597</v>
      </c>
    </row>
    <row r="135" spans="1:10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279.94712643678162</v>
      </c>
      <c r="J135" s="2" t="s">
        <v>597</v>
      </c>
    </row>
    <row r="136" spans="1:10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1037.5685000000001</v>
      </c>
      <c r="J136" s="2" t="s">
        <v>597</v>
      </c>
    </row>
    <row r="137" spans="1:10">
      <c r="A137" s="95"/>
      <c r="B137" s="95"/>
      <c r="C137" s="95"/>
      <c r="D137" s="95"/>
      <c r="E137" s="95"/>
      <c r="F137" s="95"/>
      <c r="G137" s="95"/>
      <c r="H137" s="25"/>
      <c r="I137" s="11"/>
      <c r="J137" s="2" t="s">
        <v>597</v>
      </c>
    </row>
    <row r="138" spans="1:10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  <c r="J138" s="2" t="s">
        <v>597</v>
      </c>
    </row>
    <row r="139" spans="1:10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  <c r="J139" s="2" t="s">
        <v>597</v>
      </c>
    </row>
    <row r="140" spans="1:10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  <c r="J140" s="2" t="s">
        <v>597</v>
      </c>
    </row>
    <row r="141" spans="1:10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1915.3505</v>
      </c>
      <c r="J141" s="2" t="s">
        <v>597</v>
      </c>
    </row>
    <row r="142" spans="1:10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  <c r="J142" s="2" t="s">
        <v>597</v>
      </c>
    </row>
    <row r="143" spans="1:10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422.137</v>
      </c>
      <c r="J143" s="2" t="s">
        <v>597</v>
      </c>
    </row>
    <row r="144" spans="1:10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  <c r="J144" s="2" t="s">
        <v>597</v>
      </c>
    </row>
    <row r="145" spans="1:1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4561.3739999999998</v>
      </c>
      <c r="J145" s="2" t="s">
        <v>597</v>
      </c>
    </row>
    <row r="146" spans="1:1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1037.5685000000001</v>
      </c>
      <c r="J146" s="2" t="s">
        <v>597</v>
      </c>
    </row>
    <row r="147" spans="1:1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5598.9425000000001</v>
      </c>
      <c r="J147" s="2" t="s">
        <v>597</v>
      </c>
    </row>
    <row r="148" spans="1:10">
      <c r="A148" s="5"/>
      <c r="B148" s="5"/>
      <c r="C148" s="5"/>
      <c r="D148" s="5"/>
      <c r="E148" s="5"/>
      <c r="F148" s="5"/>
      <c r="G148" s="5"/>
      <c r="H148" s="5"/>
      <c r="I148" s="69"/>
      <c r="J148" s="2" t="s">
        <v>597</v>
      </c>
    </row>
    <row r="149" spans="1:1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  <c r="J149" s="2" t="s">
        <v>597</v>
      </c>
    </row>
    <row r="150" spans="1:10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  <c r="J150" s="2" t="s">
        <v>597</v>
      </c>
    </row>
    <row r="151" spans="1:10" ht="27.65" customHeight="1">
      <c r="A151" s="681" t="str">
        <f>I23</f>
        <v>Limpeza</v>
      </c>
      <c r="B151" s="682"/>
      <c r="C151" s="683">
        <f>(I147)</f>
        <v>5598.9425000000001</v>
      </c>
      <c r="D151" s="683"/>
      <c r="E151" s="72">
        <v>1</v>
      </c>
      <c r="F151" s="683">
        <f>(I147)</f>
        <v>5598.9425000000001</v>
      </c>
      <c r="G151" s="683"/>
      <c r="H151" s="72">
        <v>1</v>
      </c>
      <c r="I151" s="141">
        <f>F151*H151</f>
        <v>5598.9425000000001</v>
      </c>
      <c r="J151" s="2" t="s">
        <v>597</v>
      </c>
    </row>
    <row r="152" spans="1:1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  <c r="J152" s="2" t="s">
        <v>597</v>
      </c>
    </row>
    <row r="153" spans="1:1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5598.9425000000001</v>
      </c>
      <c r="J153" s="2" t="s">
        <v>597</v>
      </c>
    </row>
    <row r="154" spans="1:1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67187.31</v>
      </c>
      <c r="J154" s="2" t="s">
        <v>597</v>
      </c>
    </row>
    <row r="155" spans="1:10">
      <c r="A155" s="85"/>
      <c r="B155" s="85"/>
      <c r="C155" s="85"/>
      <c r="D155" s="85"/>
      <c r="E155" s="85"/>
      <c r="F155" s="85"/>
      <c r="G155" s="85"/>
      <c r="H155" s="85"/>
      <c r="I155" s="86"/>
      <c r="J155" s="2" t="s">
        <v>597</v>
      </c>
    </row>
    <row r="156" spans="1:1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2" t="s">
        <v>597</v>
      </c>
    </row>
    <row r="157" spans="1:10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2" t="s">
        <v>597</v>
      </c>
    </row>
    <row r="158" spans="1:10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  <c r="J158" s="2" t="s">
        <v>597</v>
      </c>
    </row>
    <row r="159" spans="1:10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2" t="s">
        <v>597</v>
      </c>
    </row>
    <row r="160" spans="1:10">
      <c r="A160" s="180">
        <v>5.75</v>
      </c>
      <c r="B160" s="182">
        <v>1</v>
      </c>
      <c r="C160" s="182">
        <v>44</v>
      </c>
      <c r="D160" s="183">
        <f>A160*B160*C160</f>
        <v>253</v>
      </c>
      <c r="E160" s="184"/>
      <c r="F160" s="203">
        <v>26.833300000000001</v>
      </c>
      <c r="G160" s="34">
        <v>1</v>
      </c>
      <c r="H160" s="34">
        <v>30</v>
      </c>
      <c r="I160" s="97">
        <f>F160*G160*H160</f>
        <v>804.99900000000002</v>
      </c>
      <c r="J160" s="2" t="s">
        <v>597</v>
      </c>
    </row>
    <row r="161" spans="1:10">
      <c r="A161" s="77"/>
      <c r="B161" s="78"/>
      <c r="C161" s="79"/>
      <c r="D161" s="80"/>
      <c r="E161" s="32"/>
      <c r="F161" s="81"/>
      <c r="G161" s="79"/>
      <c r="H161" s="79"/>
      <c r="I161" s="82"/>
      <c r="J161" s="2" t="s">
        <v>597</v>
      </c>
    </row>
    <row r="162" spans="1:10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2" t="s">
        <v>597</v>
      </c>
    </row>
    <row r="163" spans="1:10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  <c r="J163" s="2" t="s">
        <v>597</v>
      </c>
    </row>
    <row r="164" spans="1:10">
      <c r="A164" s="46"/>
      <c r="B164" s="40"/>
      <c r="C164" s="40"/>
      <c r="D164" s="41"/>
      <c r="E164" s="32"/>
      <c r="F164" s="42"/>
      <c r="G164" s="40"/>
      <c r="H164" s="40"/>
      <c r="I164" s="43"/>
      <c r="J164" s="2" t="s">
        <v>597</v>
      </c>
    </row>
    <row r="165" spans="1:10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2" t="s">
        <v>597</v>
      </c>
    </row>
    <row r="166" spans="1:10" ht="26.25" customHeight="1" thickBot="1">
      <c r="A166" s="44">
        <f>D160</f>
        <v>253</v>
      </c>
      <c r="B166" s="50">
        <f>C163</f>
        <v>105.84</v>
      </c>
      <c r="C166" s="51">
        <f>A166-B166</f>
        <v>147.16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  <c r="J166" s="2" t="s">
        <v>597</v>
      </c>
    </row>
    <row r="167" spans="1:10">
      <c r="A167" s="104"/>
      <c r="B167" s="104"/>
      <c r="C167" s="104"/>
      <c r="D167" s="40"/>
      <c r="E167" s="32"/>
      <c r="F167" s="104"/>
      <c r="G167" s="105"/>
      <c r="H167" s="104"/>
      <c r="I167" s="40"/>
    </row>
    <row r="168" spans="1:10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10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10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10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</row>
    <row r="172" spans="1:10">
      <c r="A172" s="59" t="s">
        <v>11</v>
      </c>
      <c r="B172" s="219" t="s">
        <v>403</v>
      </c>
      <c r="C172" s="220"/>
      <c r="D172" s="220"/>
      <c r="E172" s="220"/>
      <c r="F172" s="220"/>
      <c r="G172" s="220"/>
      <c r="H172" s="129"/>
      <c r="I172" s="130">
        <f>I221</f>
        <v>7557.2870000000003</v>
      </c>
    </row>
    <row r="173" spans="1:10">
      <c r="A173" s="125" t="s">
        <v>12</v>
      </c>
      <c r="B173" s="222" t="s">
        <v>97</v>
      </c>
      <c r="C173" s="223"/>
      <c r="D173" s="223"/>
      <c r="E173" s="223"/>
      <c r="F173" s="223"/>
      <c r="G173" s="223"/>
      <c r="H173" s="63"/>
      <c r="I173" s="126"/>
    </row>
    <row r="174" spans="1:10" ht="15" customHeight="1">
      <c r="A174" s="60" t="s">
        <v>13</v>
      </c>
      <c r="B174" s="775" t="s">
        <v>501</v>
      </c>
      <c r="C174" s="776"/>
      <c r="D174" s="776"/>
      <c r="E174" s="776"/>
      <c r="F174" s="776"/>
      <c r="G174" s="776"/>
      <c r="H174" s="63"/>
      <c r="I174" s="122">
        <f>I152</f>
        <v>0</v>
      </c>
    </row>
    <row r="175" spans="1:10" ht="15.75" customHeight="1" thickBot="1">
      <c r="A175" s="64"/>
      <c r="B175" s="777" t="s">
        <v>404</v>
      </c>
      <c r="C175" s="778"/>
      <c r="D175" s="778"/>
      <c r="E175" s="778"/>
      <c r="F175" s="778"/>
      <c r="G175" s="778"/>
      <c r="H175" s="65"/>
      <c r="I175" s="131">
        <f>TRUNC(((I172+I174)*12),4)</f>
        <v>90687.444000000003</v>
      </c>
    </row>
    <row r="176" spans="1:10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12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12">
      <c r="A178" s="118"/>
      <c r="B178" s="118"/>
      <c r="C178" s="118"/>
      <c r="D178" s="118"/>
      <c r="E178" s="118"/>
      <c r="F178" s="118"/>
      <c r="G178" s="118"/>
      <c r="H178" s="118"/>
      <c r="I178" s="118"/>
    </row>
    <row r="180" spans="1:12">
      <c r="A180" s="67" t="s">
        <v>109</v>
      </c>
      <c r="K180" s="84"/>
      <c r="L180" s="84"/>
    </row>
    <row r="181" spans="1:12">
      <c r="A181" s="669"/>
      <c r="B181" s="669"/>
      <c r="C181" s="669"/>
      <c r="D181" s="669"/>
      <c r="E181" s="669"/>
      <c r="F181" s="669"/>
      <c r="G181" s="669"/>
      <c r="H181" s="669"/>
      <c r="I181" s="669"/>
      <c r="K181" s="84"/>
      <c r="L181" s="84"/>
    </row>
    <row r="182" spans="1:12">
      <c r="A182" s="669" t="s">
        <v>402</v>
      </c>
      <c r="B182" s="669"/>
      <c r="C182" s="669"/>
      <c r="D182" s="669"/>
      <c r="E182" s="669"/>
      <c r="F182" s="669"/>
      <c r="G182" s="669"/>
      <c r="H182" s="669"/>
      <c r="I182" s="669"/>
      <c r="K182" s="84"/>
      <c r="L182" s="84"/>
    </row>
    <row r="183" spans="1:12">
      <c r="A183" s="743" t="s">
        <v>110</v>
      </c>
      <c r="B183" s="744"/>
      <c r="C183" s="743" t="s">
        <v>111</v>
      </c>
      <c r="D183" s="745"/>
      <c r="E183" s="744"/>
      <c r="F183" s="746" t="s">
        <v>112</v>
      </c>
      <c r="G183" s="747"/>
      <c r="H183" s="743" t="s">
        <v>113</v>
      </c>
      <c r="I183" s="744"/>
      <c r="K183" s="84"/>
      <c r="L183" s="84"/>
    </row>
    <row r="184" spans="1:12">
      <c r="A184" s="748" t="s">
        <v>114</v>
      </c>
      <c r="B184" s="749"/>
      <c r="C184" s="750">
        <f>1/800</f>
        <v>1.25E-3</v>
      </c>
      <c r="D184" s="751"/>
      <c r="E184" s="752"/>
      <c r="F184" s="753">
        <f>C151</f>
        <v>5598.9425000000001</v>
      </c>
      <c r="G184" s="752"/>
      <c r="H184" s="753">
        <f>TRUNC((C184*F184),2)</f>
        <v>6.99</v>
      </c>
      <c r="I184" s="754"/>
      <c r="K184" s="84"/>
      <c r="L184" s="84"/>
    </row>
    <row r="185" spans="1:12">
      <c r="A185" s="760" t="s">
        <v>511</v>
      </c>
      <c r="B185" s="761"/>
      <c r="C185" s="767">
        <f>1/(30*800)</f>
        <v>4.1666666666666665E-5</v>
      </c>
      <c r="D185" s="768"/>
      <c r="E185" s="769"/>
      <c r="F185" s="764">
        <f>'Supervisor '!I153</f>
        <v>7536.3797000000004</v>
      </c>
      <c r="G185" s="765"/>
      <c r="H185" s="764">
        <f>TRUNC((C185*F185),2)</f>
        <v>0.31</v>
      </c>
      <c r="I185" s="766"/>
      <c r="K185" s="84"/>
      <c r="L185" s="84"/>
    </row>
    <row r="186" spans="1:12">
      <c r="A186" s="760" t="s">
        <v>24</v>
      </c>
      <c r="B186" s="762"/>
      <c r="C186" s="376"/>
      <c r="D186" s="373"/>
      <c r="E186" s="373"/>
      <c r="F186" s="377"/>
      <c r="G186" s="377"/>
      <c r="H186" s="764">
        <f>TRUNC((H184+H185),2)</f>
        <v>7.3</v>
      </c>
      <c r="I186" s="766"/>
      <c r="K186" s="84"/>
      <c r="L186" s="84"/>
    </row>
    <row r="187" spans="1:12">
      <c r="K187" s="84"/>
      <c r="L187" s="84"/>
    </row>
    <row r="188" spans="1:12">
      <c r="A188" s="668" t="s">
        <v>498</v>
      </c>
      <c r="B188" s="669"/>
      <c r="C188" s="669"/>
      <c r="D188" s="669"/>
      <c r="E188" s="669"/>
      <c r="F188" s="669"/>
      <c r="G188" s="669"/>
      <c r="H188" s="669"/>
      <c r="I188" s="669"/>
      <c r="K188" s="84"/>
      <c r="L188" s="84"/>
    </row>
    <row r="189" spans="1:12">
      <c r="A189" s="743" t="s">
        <v>110</v>
      </c>
      <c r="B189" s="744"/>
      <c r="C189" s="743" t="s">
        <v>111</v>
      </c>
      <c r="D189" s="745"/>
      <c r="E189" s="744"/>
      <c r="F189" s="746" t="s">
        <v>112</v>
      </c>
      <c r="G189" s="747"/>
      <c r="H189" s="743" t="s">
        <v>113</v>
      </c>
      <c r="I189" s="744"/>
      <c r="K189" s="84"/>
      <c r="L189" s="84"/>
    </row>
    <row r="190" spans="1:12">
      <c r="A190" s="748" t="s">
        <v>114</v>
      </c>
      <c r="B190" s="749"/>
      <c r="C190" s="750">
        <f>1/200</f>
        <v>5.0000000000000001E-3</v>
      </c>
      <c r="D190" s="751"/>
      <c r="E190" s="752"/>
      <c r="F190" s="753">
        <f>C151</f>
        <v>5598.9425000000001</v>
      </c>
      <c r="G190" s="752"/>
      <c r="H190" s="753">
        <f>TRUNC((C190*F190),2)</f>
        <v>27.99</v>
      </c>
      <c r="I190" s="754"/>
      <c r="K190" s="84"/>
      <c r="L190" s="84"/>
    </row>
    <row r="191" spans="1:12">
      <c r="A191" s="760" t="s">
        <v>511</v>
      </c>
      <c r="B191" s="761"/>
      <c r="C191" s="767">
        <f>1/(30*200)</f>
        <v>1.6666666666666666E-4</v>
      </c>
      <c r="D191" s="768"/>
      <c r="E191" s="769"/>
      <c r="F191" s="764">
        <f>'Supervisor '!I153</f>
        <v>7536.3797000000004</v>
      </c>
      <c r="G191" s="765"/>
      <c r="H191" s="764">
        <f>TRUNC((C191*F191),2)</f>
        <v>1.25</v>
      </c>
      <c r="I191" s="766"/>
      <c r="K191" s="84"/>
      <c r="L191" s="84"/>
    </row>
    <row r="192" spans="1:12">
      <c r="A192" s="760" t="s">
        <v>24</v>
      </c>
      <c r="B192" s="762"/>
      <c r="C192" s="376"/>
      <c r="D192" s="373"/>
      <c r="E192" s="373"/>
      <c r="F192" s="377"/>
      <c r="G192" s="377"/>
      <c r="H192" s="764">
        <f>TRUNC((H190+H191),2)</f>
        <v>29.24</v>
      </c>
      <c r="I192" s="766"/>
      <c r="K192" s="84"/>
      <c r="L192" s="84"/>
    </row>
    <row r="193" spans="1:12">
      <c r="K193" s="84"/>
      <c r="L193" s="84"/>
    </row>
    <row r="194" spans="1:12">
      <c r="A194" s="669" t="s">
        <v>401</v>
      </c>
      <c r="B194" s="669"/>
      <c r="C194" s="669"/>
      <c r="D194" s="669"/>
      <c r="E194" s="669"/>
      <c r="F194" s="669"/>
      <c r="G194" s="669"/>
      <c r="H194" s="669"/>
      <c r="I194" s="669"/>
      <c r="K194" s="84"/>
      <c r="L194" s="84"/>
    </row>
    <row r="195" spans="1:12">
      <c r="A195" s="743" t="s">
        <v>110</v>
      </c>
      <c r="B195" s="744"/>
      <c r="C195" s="743" t="s">
        <v>111</v>
      </c>
      <c r="D195" s="745"/>
      <c r="E195" s="744"/>
      <c r="F195" s="746" t="s">
        <v>112</v>
      </c>
      <c r="G195" s="747"/>
      <c r="H195" s="743" t="s">
        <v>113</v>
      </c>
      <c r="I195" s="744"/>
      <c r="K195" s="84"/>
      <c r="L195" s="84"/>
    </row>
    <row r="196" spans="1:12">
      <c r="A196" s="748" t="s">
        <v>114</v>
      </c>
      <c r="B196" s="749"/>
      <c r="C196" s="750">
        <f>1/1800</f>
        <v>5.5555555555555556E-4</v>
      </c>
      <c r="D196" s="751"/>
      <c r="E196" s="752"/>
      <c r="F196" s="753">
        <f>C151</f>
        <v>5598.9425000000001</v>
      </c>
      <c r="G196" s="752"/>
      <c r="H196" s="753">
        <f>TRUNC((C196*F196),2)</f>
        <v>3.11</v>
      </c>
      <c r="I196" s="754"/>
      <c r="K196" s="84"/>
      <c r="L196" s="84"/>
    </row>
    <row r="197" spans="1:12">
      <c r="A197" s="760" t="s">
        <v>511</v>
      </c>
      <c r="B197" s="761"/>
      <c r="C197" s="767">
        <f>1/(30*1800)</f>
        <v>1.8518518518518518E-5</v>
      </c>
      <c r="D197" s="768"/>
      <c r="E197" s="769"/>
      <c r="F197" s="764">
        <f>'Supervisor '!I153</f>
        <v>7536.3797000000004</v>
      </c>
      <c r="G197" s="765"/>
      <c r="H197" s="764">
        <f>TRUNC((C197*F197),2)</f>
        <v>0.13</v>
      </c>
      <c r="I197" s="766"/>
      <c r="K197" s="84"/>
      <c r="L197" s="84"/>
    </row>
    <row r="198" spans="1:12">
      <c r="A198" s="760" t="s">
        <v>24</v>
      </c>
      <c r="B198" s="762"/>
      <c r="C198" s="376"/>
      <c r="D198" s="373"/>
      <c r="E198" s="373"/>
      <c r="F198" s="377"/>
      <c r="G198" s="377"/>
      <c r="H198" s="764">
        <f>TRUNC((H196+H197),2)</f>
        <v>3.24</v>
      </c>
      <c r="I198" s="766"/>
      <c r="K198" s="84"/>
      <c r="L198" s="84"/>
    </row>
    <row r="199" spans="1:12">
      <c r="K199" s="84"/>
      <c r="L199" s="84"/>
    </row>
    <row r="200" spans="1:12">
      <c r="A200" s="668" t="s">
        <v>500</v>
      </c>
      <c r="B200" s="669"/>
      <c r="C200" s="669"/>
      <c r="D200" s="669"/>
      <c r="E200" s="669"/>
      <c r="F200" s="669"/>
      <c r="G200" s="669"/>
      <c r="H200" s="669"/>
      <c r="I200" s="669"/>
      <c r="K200" s="84"/>
      <c r="L200" s="84"/>
    </row>
    <row r="201" spans="1:12" ht="70">
      <c r="A201" s="748" t="s">
        <v>110</v>
      </c>
      <c r="B201" s="749"/>
      <c r="C201" s="68" t="s">
        <v>119</v>
      </c>
      <c r="D201" s="68" t="s">
        <v>120</v>
      </c>
      <c r="E201" s="68" t="s">
        <v>121</v>
      </c>
      <c r="F201" s="68" t="s">
        <v>122</v>
      </c>
      <c r="G201" s="68" t="s">
        <v>123</v>
      </c>
      <c r="H201" s="68" t="s">
        <v>124</v>
      </c>
      <c r="I201" s="119"/>
      <c r="K201" s="84"/>
      <c r="L201" s="84"/>
    </row>
    <row r="202" spans="1:12">
      <c r="A202" s="771" t="s">
        <v>114</v>
      </c>
      <c r="B202" s="771"/>
      <c r="C202" s="66">
        <f>1/300</f>
        <v>3.3333333333333335E-3</v>
      </c>
      <c r="D202" s="30">
        <v>16</v>
      </c>
      <c r="E202" s="66">
        <f>1/188.76</f>
        <v>5.2977325704598437E-3</v>
      </c>
      <c r="F202" s="147">
        <f>C202*D202*E202</f>
        <v>2.8254573709119167E-4</v>
      </c>
      <c r="G202" s="29">
        <f>C151</f>
        <v>5598.9425000000001</v>
      </c>
      <c r="H202" s="29">
        <f>TRUNC((F202*G202),2)</f>
        <v>1.58</v>
      </c>
      <c r="K202" s="84"/>
      <c r="L202" s="84"/>
    </row>
    <row r="203" spans="1:12">
      <c r="A203" s="760" t="s">
        <v>511</v>
      </c>
      <c r="B203" s="761"/>
      <c r="C203" s="372">
        <f>1/(30*300)</f>
        <v>1.1111111111111112E-4</v>
      </c>
      <c r="D203" s="373">
        <v>16</v>
      </c>
      <c r="E203" s="66">
        <f>1/188.76</f>
        <v>5.2977325704598437E-3</v>
      </c>
      <c r="F203" s="147">
        <f>C203*D203*E203</f>
        <v>9.418191236373056E-6</v>
      </c>
      <c r="G203" s="29">
        <f>'Supervisor '!I153</f>
        <v>7536.3797000000004</v>
      </c>
      <c r="H203" s="29">
        <f>TRUNC((F203*G203),2)</f>
        <v>7.0000000000000007E-2</v>
      </c>
      <c r="I203" s="368"/>
      <c r="K203" s="84"/>
      <c r="L203" s="84"/>
    </row>
    <row r="204" spans="1:12">
      <c r="A204" s="760" t="s">
        <v>24</v>
      </c>
      <c r="B204" s="762"/>
      <c r="C204" s="379"/>
      <c r="D204" s="373"/>
      <c r="E204" s="373"/>
      <c r="F204" s="377"/>
      <c r="G204" s="377"/>
      <c r="H204" s="378">
        <f>TRUNC((H202+H203),2)</f>
        <v>1.65</v>
      </c>
      <c r="I204" s="159"/>
      <c r="K204" s="84"/>
      <c r="L204" s="84"/>
    </row>
    <row r="205" spans="1:12">
      <c r="A205" s="143"/>
      <c r="B205" s="143"/>
      <c r="C205" s="143"/>
      <c r="D205" s="143"/>
      <c r="E205" s="143"/>
      <c r="F205" s="143"/>
      <c r="G205" s="143"/>
      <c r="K205" s="84"/>
      <c r="L205" s="84"/>
    </row>
    <row r="206" spans="1:12">
      <c r="A206" s="67" t="s">
        <v>592</v>
      </c>
      <c r="K206" s="84"/>
      <c r="L206" s="84"/>
    </row>
    <row r="207" spans="1:12" ht="70">
      <c r="A207" s="748" t="s">
        <v>110</v>
      </c>
      <c r="B207" s="749"/>
      <c r="C207" s="68" t="s">
        <v>119</v>
      </c>
      <c r="D207" s="68" t="s">
        <v>120</v>
      </c>
      <c r="E207" s="68" t="s">
        <v>121</v>
      </c>
      <c r="F207" s="68" t="s">
        <v>122</v>
      </c>
      <c r="G207" s="68" t="s">
        <v>123</v>
      </c>
      <c r="H207" s="68" t="s">
        <v>124</v>
      </c>
      <c r="K207" s="84"/>
      <c r="L207" s="84"/>
    </row>
    <row r="208" spans="1:12">
      <c r="A208" s="771" t="s">
        <v>114</v>
      </c>
      <c r="B208" s="771"/>
      <c r="C208" s="66">
        <f>1/130</f>
        <v>7.6923076923076927E-3</v>
      </c>
      <c r="D208" s="30">
        <v>8</v>
      </c>
      <c r="E208" s="66">
        <f>1/188.76</f>
        <v>5.2977325704598437E-3</v>
      </c>
      <c r="F208" s="30">
        <f>C208*D208*E208</f>
        <v>3.2601431202829807E-4</v>
      </c>
      <c r="G208" s="29">
        <f>C151</f>
        <v>5598.9425000000001</v>
      </c>
      <c r="H208" s="371">
        <f>TRUNC((F208*G208),2)</f>
        <v>1.82</v>
      </c>
      <c r="K208" s="84"/>
      <c r="L208" s="84"/>
    </row>
    <row r="209" spans="1:12">
      <c r="A209" s="760" t="s">
        <v>511</v>
      </c>
      <c r="B209" s="761"/>
      <c r="C209" s="372">
        <f>1/(4*300)</f>
        <v>8.3333333333333339E-4</v>
      </c>
      <c r="D209" s="373">
        <v>8</v>
      </c>
      <c r="E209" s="66">
        <f>1/188.76</f>
        <v>5.2977325704598437E-3</v>
      </c>
      <c r="F209" s="147">
        <f>C209*D209*E209</f>
        <v>3.5318217136398959E-5</v>
      </c>
      <c r="G209" s="374">
        <f>'Supervisor '!I153</f>
        <v>7536.3797000000004</v>
      </c>
      <c r="H209" s="375">
        <f>TRUNC((F209*G209),4)</f>
        <v>0.2661</v>
      </c>
      <c r="K209" s="84"/>
      <c r="L209" s="84"/>
    </row>
    <row r="210" spans="1:12">
      <c r="A210" s="760" t="s">
        <v>24</v>
      </c>
      <c r="B210" s="761"/>
      <c r="C210" s="376"/>
      <c r="D210" s="373"/>
      <c r="E210" s="373"/>
      <c r="F210" s="377"/>
      <c r="G210" s="377"/>
      <c r="H210" s="378">
        <f>TRUNC((H208+H209),4)</f>
        <v>2.0861000000000001</v>
      </c>
      <c r="K210" s="84"/>
      <c r="L210" s="84"/>
    </row>
    <row r="211" spans="1:12">
      <c r="K211" s="84"/>
      <c r="L211" s="84"/>
    </row>
    <row r="212" spans="1:12">
      <c r="A212" s="772" t="s">
        <v>115</v>
      </c>
      <c r="B212" s="773"/>
      <c r="C212" s="773"/>
      <c r="D212" s="773"/>
      <c r="E212" s="773"/>
      <c r="F212" s="773"/>
      <c r="G212" s="773"/>
      <c r="H212" s="773"/>
      <c r="I212" s="774"/>
      <c r="K212" s="84"/>
      <c r="L212" s="84"/>
    </row>
    <row r="213" spans="1:12">
      <c r="A213" s="743" t="s">
        <v>117</v>
      </c>
      <c r="B213" s="745"/>
      <c r="C213" s="745"/>
      <c r="D213" s="744"/>
      <c r="E213" s="746" t="s">
        <v>116</v>
      </c>
      <c r="F213" s="770"/>
      <c r="G213" s="747"/>
      <c r="H213" s="9" t="s">
        <v>118</v>
      </c>
      <c r="I213" s="9" t="s">
        <v>107</v>
      </c>
      <c r="K213" s="84"/>
      <c r="L213" s="84"/>
    </row>
    <row r="214" spans="1:12">
      <c r="A214" s="671" t="s">
        <v>504</v>
      </c>
      <c r="B214" s="672"/>
      <c r="C214" s="672"/>
      <c r="D214" s="673"/>
      <c r="E214" s="753">
        <f>H186</f>
        <v>7.3</v>
      </c>
      <c r="F214" s="751"/>
      <c r="G214" s="752"/>
      <c r="H214" s="22">
        <f>'Limpeza - Imóveis'!U10-'Limpeza - Imóveis'!D10</f>
        <v>672.5</v>
      </c>
      <c r="I214" s="29">
        <f>E214*H214</f>
        <v>4909.25</v>
      </c>
      <c r="K214" s="84"/>
      <c r="L214" s="84"/>
    </row>
    <row r="215" spans="1:12">
      <c r="A215" s="671" t="s">
        <v>505</v>
      </c>
      <c r="B215" s="672"/>
      <c r="C215" s="672"/>
      <c r="D215" s="673"/>
      <c r="E215" s="753">
        <f>H192</f>
        <v>29.24</v>
      </c>
      <c r="F215" s="763"/>
      <c r="G215" s="754"/>
      <c r="H215" s="22">
        <f>'Limpeza - Imóveis'!D10</f>
        <v>33.11</v>
      </c>
      <c r="I215" s="29">
        <f>E215*H215</f>
        <v>968.13639999999998</v>
      </c>
      <c r="K215" s="84"/>
      <c r="L215" s="84"/>
    </row>
    <row r="216" spans="1:12">
      <c r="A216" s="671" t="s">
        <v>506</v>
      </c>
      <c r="B216" s="672"/>
      <c r="C216" s="672"/>
      <c r="D216" s="673"/>
      <c r="E216" s="753">
        <f>H198</f>
        <v>3.24</v>
      </c>
      <c r="F216" s="751"/>
      <c r="G216" s="752"/>
      <c r="H216" s="22">
        <f>'Limpeza - Imóveis'!V10+'Limpeza - Imóveis'!W10+'Limpeza - Imóveis'!X10</f>
        <v>193.40999999999997</v>
      </c>
      <c r="I216" s="29">
        <f t="shared" ref="I216:I219" si="0">E216*H216</f>
        <v>626.64839999999992</v>
      </c>
      <c r="K216" s="84"/>
      <c r="L216" s="84"/>
    </row>
    <row r="217" spans="1:12">
      <c r="A217" s="671" t="s">
        <v>589</v>
      </c>
      <c r="B217" s="672"/>
      <c r="C217" s="672"/>
      <c r="D217" s="673"/>
      <c r="E217" s="753">
        <f>H204</f>
        <v>1.65</v>
      </c>
      <c r="F217" s="751"/>
      <c r="G217" s="752"/>
      <c r="H217" s="22">
        <f>'Limpeza - Imóveis'!AA10+'Limpeza - Imóveis'!AB10</f>
        <v>487.87</v>
      </c>
      <c r="I217" s="29">
        <f t="shared" si="0"/>
        <v>804.9855</v>
      </c>
      <c r="K217" s="84"/>
      <c r="L217" s="84"/>
    </row>
    <row r="218" spans="1:12">
      <c r="A218" s="671" t="s">
        <v>590</v>
      </c>
      <c r="B218" s="672"/>
      <c r="C218" s="672"/>
      <c r="D218" s="673"/>
      <c r="E218" s="753">
        <f>H210</f>
        <v>2.0861000000000001</v>
      </c>
      <c r="F218" s="763"/>
      <c r="G218" s="754"/>
      <c r="H218" s="22">
        <f>'Limpeza - Imóveis'!AD10</f>
        <v>119.01</v>
      </c>
      <c r="I218" s="29">
        <f t="shared" si="0"/>
        <v>248.26676100000003</v>
      </c>
      <c r="K218" s="84"/>
      <c r="L218" s="84"/>
    </row>
    <row r="219" spans="1:12">
      <c r="A219" s="671" t="s">
        <v>593</v>
      </c>
      <c r="B219" s="672"/>
      <c r="C219" s="672"/>
      <c r="D219" s="673"/>
      <c r="E219" s="753">
        <v>0</v>
      </c>
      <c r="F219" s="763"/>
      <c r="G219" s="754"/>
      <c r="H219" s="370"/>
      <c r="I219" s="29">
        <f t="shared" si="0"/>
        <v>0</v>
      </c>
      <c r="K219" s="84"/>
      <c r="L219" s="84"/>
    </row>
    <row r="220" spans="1:12">
      <c r="A220" s="671" t="s">
        <v>502</v>
      </c>
      <c r="B220" s="672"/>
      <c r="C220" s="672"/>
      <c r="D220" s="673"/>
      <c r="E220" s="753">
        <f>H212</f>
        <v>0</v>
      </c>
      <c r="F220" s="763"/>
      <c r="G220" s="754"/>
      <c r="H220" s="22"/>
      <c r="I220" s="29">
        <f>E220*H220</f>
        <v>0</v>
      </c>
      <c r="K220" s="84"/>
      <c r="L220" s="84"/>
    </row>
    <row r="221" spans="1:12">
      <c r="A221" s="684" t="s">
        <v>24</v>
      </c>
      <c r="B221" s="685"/>
      <c r="C221" s="685"/>
      <c r="D221" s="685"/>
      <c r="E221" s="685"/>
      <c r="F221" s="685"/>
      <c r="G221" s="686"/>
      <c r="H221" s="121"/>
      <c r="I221" s="10">
        <f>TRUNC(SUM(I214:I220),4)</f>
        <v>7557.2870000000003</v>
      </c>
      <c r="K221" s="84"/>
      <c r="L221" s="84"/>
    </row>
    <row r="222" spans="1:1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</row>
  </sheetData>
  <mergeCells count="230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27:G127"/>
    <mergeCell ref="B115:G115"/>
    <mergeCell ref="B116:G116"/>
    <mergeCell ref="B117:G117"/>
    <mergeCell ref="B118:G118"/>
    <mergeCell ref="B119:G119"/>
    <mergeCell ref="A120:G120"/>
    <mergeCell ref="B134:G134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2:G132"/>
    <mergeCell ref="B133:G133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69:I169"/>
    <mergeCell ref="B170:I170"/>
    <mergeCell ref="A152:B152"/>
    <mergeCell ref="C152:D152"/>
    <mergeCell ref="F152:G152"/>
    <mergeCell ref="C153:D153"/>
    <mergeCell ref="F153:G153"/>
    <mergeCell ref="B156:G156"/>
    <mergeCell ref="A181:I181"/>
    <mergeCell ref="A182:I182"/>
    <mergeCell ref="A183:B183"/>
    <mergeCell ref="C183:E183"/>
    <mergeCell ref="F183:G183"/>
    <mergeCell ref="H183:I183"/>
    <mergeCell ref="B171:H171"/>
    <mergeCell ref="B174:G174"/>
    <mergeCell ref="B175:G175"/>
    <mergeCell ref="A177:I177"/>
    <mergeCell ref="A186:B186"/>
    <mergeCell ref="H186:I186"/>
    <mergeCell ref="A188:I188"/>
    <mergeCell ref="A189:B189"/>
    <mergeCell ref="C189:E189"/>
    <mergeCell ref="F189:G189"/>
    <mergeCell ref="H189:I189"/>
    <mergeCell ref="A184:B184"/>
    <mergeCell ref="C184:E184"/>
    <mergeCell ref="F184:G184"/>
    <mergeCell ref="H184:I184"/>
    <mergeCell ref="A185:B185"/>
    <mergeCell ref="C185:E185"/>
    <mergeCell ref="F185:G185"/>
    <mergeCell ref="H185:I185"/>
    <mergeCell ref="A192:B192"/>
    <mergeCell ref="H192:I192"/>
    <mergeCell ref="A194:I194"/>
    <mergeCell ref="A195:B195"/>
    <mergeCell ref="C195:E195"/>
    <mergeCell ref="F195:G195"/>
    <mergeCell ref="H195:I195"/>
    <mergeCell ref="A190:B190"/>
    <mergeCell ref="C190:E190"/>
    <mergeCell ref="F190:G190"/>
    <mergeCell ref="H190:I190"/>
    <mergeCell ref="A191:B191"/>
    <mergeCell ref="C191:E191"/>
    <mergeCell ref="F191:G191"/>
    <mergeCell ref="H191:I191"/>
    <mergeCell ref="A198:B198"/>
    <mergeCell ref="H198:I198"/>
    <mergeCell ref="A200:I200"/>
    <mergeCell ref="A201:B201"/>
    <mergeCell ref="A202:B202"/>
    <mergeCell ref="A203:B203"/>
    <mergeCell ref="A196:B196"/>
    <mergeCell ref="C196:E196"/>
    <mergeCell ref="F196:G196"/>
    <mergeCell ref="H196:I196"/>
    <mergeCell ref="A197:B197"/>
    <mergeCell ref="C197:E197"/>
    <mergeCell ref="F197:G197"/>
    <mergeCell ref="H197:I197"/>
    <mergeCell ref="A213:D213"/>
    <mergeCell ref="E213:G213"/>
    <mergeCell ref="A214:D214"/>
    <mergeCell ref="E214:G214"/>
    <mergeCell ref="A215:D215"/>
    <mergeCell ref="E215:G215"/>
    <mergeCell ref="A204:B204"/>
    <mergeCell ref="A207:B207"/>
    <mergeCell ref="A208:B208"/>
    <mergeCell ref="A209:B209"/>
    <mergeCell ref="A210:B210"/>
    <mergeCell ref="A212:I212"/>
    <mergeCell ref="A219:D219"/>
    <mergeCell ref="E219:G219"/>
    <mergeCell ref="A220:D220"/>
    <mergeCell ref="E220:G220"/>
    <mergeCell ref="A221:G221"/>
    <mergeCell ref="A216:D216"/>
    <mergeCell ref="E216:G216"/>
    <mergeCell ref="A217:D217"/>
    <mergeCell ref="E217:G217"/>
    <mergeCell ref="A218:D218"/>
    <mergeCell ref="E218:G218"/>
  </mergeCells>
  <pageMargins left="0.59055118110236227" right="0.59055118110236227" top="0.59055118110236227" bottom="0.39370078740157483" header="0.15748031496062992" footer="0.15748031496062992"/>
  <pageSetup paperSize="9" scale="57" firstPageNumber="0" orientation="portrait" verticalDpi="300" r:id="rId1"/>
  <headerFooter alignWithMargins="0"/>
  <rowBreaks count="2" manualBreakCount="2">
    <brk id="91" max="8" man="1"/>
    <brk id="167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AE403"/>
  <sheetViews>
    <sheetView view="pageBreakPreview" topLeftCell="A2" zoomScaleNormal="96" zoomScaleSheetLayoutView="100" workbookViewId="0">
      <selection activeCell="P233" sqref="P233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7.7265625" style="2" customWidth="1"/>
    <col min="10" max="10" width="6.1796875" style="2" hidden="1" customWidth="1"/>
    <col min="11" max="31" width="9.1796875" style="84"/>
    <col min="32" max="16384" width="9.1796875" style="2"/>
  </cols>
  <sheetData>
    <row r="1" spans="1:10">
      <c r="A1" s="632" t="s">
        <v>301</v>
      </c>
      <c r="B1" s="632"/>
      <c r="C1" s="632"/>
      <c r="D1" s="632"/>
      <c r="E1" s="632"/>
      <c r="F1" s="632"/>
      <c r="G1" s="632"/>
      <c r="H1" s="632"/>
      <c r="I1" s="632"/>
      <c r="J1" s="2" t="s">
        <v>597</v>
      </c>
    </row>
    <row r="2" spans="1:10">
      <c r="A2" s="84"/>
      <c r="B2" s="84"/>
      <c r="C2" s="84"/>
      <c r="D2" s="84"/>
      <c r="E2" s="84"/>
      <c r="F2" s="84"/>
      <c r="G2" s="84"/>
      <c r="H2" s="84"/>
      <c r="I2" s="84"/>
      <c r="J2" s="2" t="s">
        <v>597</v>
      </c>
    </row>
    <row r="3" spans="1:10">
      <c r="A3" s="169" t="s">
        <v>418</v>
      </c>
      <c r="B3" s="170"/>
      <c r="C3" s="156"/>
      <c r="D3" s="156"/>
      <c r="E3" s="84"/>
      <c r="F3" s="84"/>
      <c r="G3" s="84"/>
      <c r="H3" s="84"/>
      <c r="I3" s="84"/>
      <c r="J3" s="2" t="s">
        <v>597</v>
      </c>
    </row>
    <row r="4" spans="1:10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  <c r="J4" s="2" t="s">
        <v>597</v>
      </c>
    </row>
    <row r="5" spans="1:10">
      <c r="A5" s="84"/>
      <c r="B5" s="84"/>
      <c r="C5" s="84"/>
      <c r="D5" s="84"/>
      <c r="E5" s="84"/>
      <c r="F5" s="84"/>
      <c r="G5" s="84"/>
      <c r="H5" s="84"/>
      <c r="I5" s="84"/>
      <c r="J5" s="2" t="s">
        <v>597</v>
      </c>
    </row>
    <row r="6" spans="1:10">
      <c r="A6" s="633" t="s">
        <v>6</v>
      </c>
      <c r="B6" s="633"/>
      <c r="C6" s="633"/>
      <c r="D6" s="633"/>
      <c r="E6" s="633"/>
      <c r="F6" s="633"/>
      <c r="G6" s="633"/>
      <c r="H6" s="633"/>
      <c r="I6" s="633"/>
      <c r="J6" s="2" t="s">
        <v>597</v>
      </c>
    </row>
    <row r="7" spans="1:10">
      <c r="A7" s="161"/>
      <c r="B7" s="161"/>
      <c r="C7" s="161"/>
      <c r="D7" s="161"/>
      <c r="E7" s="161"/>
      <c r="F7" s="161"/>
      <c r="G7" s="161"/>
      <c r="H7" s="161"/>
      <c r="I7" s="161"/>
      <c r="J7" s="2" t="s">
        <v>597</v>
      </c>
    </row>
    <row r="8" spans="1:10">
      <c r="A8" s="634" t="s">
        <v>128</v>
      </c>
      <c r="B8" s="634"/>
      <c r="C8" s="634"/>
      <c r="D8" s="634"/>
      <c r="E8" s="634"/>
      <c r="F8" s="634"/>
      <c r="G8" s="634"/>
      <c r="H8" s="634"/>
      <c r="I8" s="634"/>
      <c r="J8" s="2" t="s">
        <v>597</v>
      </c>
    </row>
    <row r="9" spans="1:10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  <c r="J9" s="2" t="s">
        <v>597</v>
      </c>
    </row>
    <row r="10" spans="1:10">
      <c r="A10" s="152" t="s">
        <v>12</v>
      </c>
      <c r="B10" s="648" t="s">
        <v>347</v>
      </c>
      <c r="C10" s="648"/>
      <c r="D10" s="648"/>
      <c r="E10" s="648"/>
      <c r="F10" s="648"/>
      <c r="G10" s="648"/>
      <c r="H10" s="648"/>
      <c r="I10" s="152" t="s">
        <v>428</v>
      </c>
      <c r="J10" s="2" t="s">
        <v>597</v>
      </c>
    </row>
    <row r="11" spans="1:10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  <c r="J11" s="2" t="s">
        <v>597</v>
      </c>
    </row>
    <row r="12" spans="1:10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  <c r="J12" s="2" t="s">
        <v>597</v>
      </c>
    </row>
    <row r="13" spans="1:10">
      <c r="A13" s="160"/>
      <c r="B13" s="161"/>
      <c r="C13" s="161"/>
      <c r="D13" s="161"/>
      <c r="E13" s="161"/>
      <c r="F13" s="161"/>
      <c r="G13" s="161"/>
      <c r="H13" s="160"/>
      <c r="I13" s="160"/>
      <c r="J13" s="2" t="s">
        <v>597</v>
      </c>
    </row>
    <row r="14" spans="1:10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  <c r="J14" s="2" t="s">
        <v>597</v>
      </c>
    </row>
    <row r="15" spans="1:10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  <c r="J15" s="2" t="s">
        <v>597</v>
      </c>
    </row>
    <row r="16" spans="1:10">
      <c r="A16" s="638" t="s">
        <v>292</v>
      </c>
      <c r="B16" s="638"/>
      <c r="C16" s="638"/>
      <c r="D16" s="638"/>
      <c r="E16" s="638">
        <v>2</v>
      </c>
      <c r="F16" s="638"/>
      <c r="G16" s="638"/>
      <c r="H16" s="638"/>
      <c r="I16" s="638"/>
      <c r="J16" s="2" t="s">
        <v>597</v>
      </c>
    </row>
    <row r="17" spans="1:10">
      <c r="A17" s="638"/>
      <c r="B17" s="638"/>
      <c r="C17" s="638"/>
      <c r="D17" s="638"/>
      <c r="E17" s="638"/>
      <c r="F17" s="638"/>
      <c r="G17" s="638"/>
      <c r="H17" s="638"/>
      <c r="I17" s="638"/>
      <c r="J17" s="2" t="s">
        <v>597</v>
      </c>
    </row>
    <row r="18" spans="1:10">
      <c r="A18" s="638"/>
      <c r="B18" s="638"/>
      <c r="C18" s="638"/>
      <c r="D18" s="638"/>
      <c r="E18" s="638"/>
      <c r="F18" s="638"/>
      <c r="G18" s="638"/>
      <c r="H18" s="638"/>
      <c r="I18" s="638"/>
      <c r="J18" s="2" t="s">
        <v>597</v>
      </c>
    </row>
    <row r="19" spans="1:10">
      <c r="A19" s="160"/>
      <c r="B19" s="160"/>
      <c r="C19" s="160"/>
      <c r="D19" s="160"/>
      <c r="E19" s="160"/>
      <c r="F19" s="160"/>
      <c r="G19" s="160"/>
      <c r="H19" s="160"/>
      <c r="I19" s="160"/>
      <c r="J19" s="2" t="s">
        <v>597</v>
      </c>
    </row>
    <row r="20" spans="1:10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  <c r="J20" s="2" t="s">
        <v>597</v>
      </c>
    </row>
    <row r="21" spans="1:10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  <c r="J21" s="2" t="s">
        <v>597</v>
      </c>
    </row>
    <row r="22" spans="1:1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2" t="s">
        <v>597</v>
      </c>
    </row>
    <row r="23" spans="1:1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2" t="s">
        <v>597</v>
      </c>
    </row>
    <row r="24" spans="1:1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2" t="s">
        <v>597</v>
      </c>
    </row>
    <row r="25" spans="1:1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2" t="s">
        <v>597</v>
      </c>
    </row>
    <row r="26" spans="1:1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2" t="s">
        <v>597</v>
      </c>
    </row>
    <row r="27" spans="1:1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2" t="s">
        <v>597</v>
      </c>
    </row>
    <row r="28" spans="1:10">
      <c r="A28" s="143"/>
      <c r="B28" s="3"/>
      <c r="C28" s="3"/>
      <c r="D28" s="3"/>
      <c r="E28" s="3"/>
      <c r="F28" s="3"/>
      <c r="G28" s="3"/>
      <c r="H28" s="3"/>
      <c r="I28" s="6"/>
      <c r="J28" s="2" t="s">
        <v>597</v>
      </c>
    </row>
    <row r="29" spans="1:10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2" t="s">
        <v>597</v>
      </c>
    </row>
    <row r="30" spans="1:1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  <c r="J30" s="2" t="s">
        <v>597</v>
      </c>
    </row>
    <row r="31" spans="1:1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(I25)</f>
        <v>1764</v>
      </c>
      <c r="J31" s="2" t="s">
        <v>597</v>
      </c>
    </row>
    <row r="32" spans="1:10">
      <c r="A32" s="9" t="s">
        <v>12</v>
      </c>
      <c r="B32" s="645" t="s">
        <v>313</v>
      </c>
      <c r="C32" s="645"/>
      <c r="D32" s="645"/>
      <c r="E32" s="645"/>
      <c r="F32" s="645"/>
      <c r="G32" s="645"/>
      <c r="H32" s="29"/>
      <c r="I32" s="29">
        <v>122</v>
      </c>
      <c r="J32" s="2" t="s">
        <v>597</v>
      </c>
    </row>
    <row r="33" spans="1:10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/>
      <c r="I33" s="29">
        <f>H33*I31</f>
        <v>0</v>
      </c>
      <c r="J33" s="2" t="s">
        <v>597</v>
      </c>
    </row>
    <row r="34" spans="1:10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/>
      <c r="I34" s="29">
        <v>0</v>
      </c>
      <c r="J34" s="2" t="s">
        <v>597</v>
      </c>
    </row>
    <row r="35" spans="1:1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  <c r="J35" s="2" t="s">
        <v>597</v>
      </c>
    </row>
    <row r="36" spans="1:1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  <c r="J36" s="2" t="s">
        <v>597</v>
      </c>
    </row>
    <row r="37" spans="1:1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  <c r="J37" s="2" t="s">
        <v>597</v>
      </c>
    </row>
    <row r="38" spans="1:1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  <c r="J38" s="2" t="s">
        <v>597</v>
      </c>
    </row>
    <row r="39" spans="1:10">
      <c r="A39" s="95"/>
      <c r="B39" s="95"/>
      <c r="C39" s="95"/>
      <c r="D39" s="95"/>
      <c r="E39" s="95"/>
      <c r="F39" s="95"/>
      <c r="G39" s="95"/>
      <c r="H39" s="95"/>
      <c r="I39" s="11"/>
      <c r="J39" s="2" t="s">
        <v>597</v>
      </c>
    </row>
    <row r="40" spans="1:1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2" t="s">
        <v>597</v>
      </c>
    </row>
    <row r="41" spans="1:1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2" t="s">
        <v>597</v>
      </c>
    </row>
    <row r="42" spans="1:1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2" t="s">
        <v>597</v>
      </c>
    </row>
    <row r="43" spans="1:1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  <c r="J43" s="2" t="s">
        <v>597</v>
      </c>
    </row>
    <row r="44" spans="1:1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  <c r="J44" s="2" t="s">
        <v>597</v>
      </c>
    </row>
    <row r="45" spans="1:1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  <c r="J45" s="2" t="s">
        <v>597</v>
      </c>
    </row>
    <row r="46" spans="1:10">
      <c r="A46" s="95"/>
      <c r="B46" s="95"/>
      <c r="C46" s="95"/>
      <c r="D46" s="95"/>
      <c r="E46" s="95"/>
      <c r="F46" s="95"/>
      <c r="G46" s="95"/>
      <c r="H46" s="15"/>
      <c r="I46" s="11"/>
      <c r="J46" s="2" t="s">
        <v>597</v>
      </c>
    </row>
    <row r="47" spans="1:10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2" t="s">
        <v>597</v>
      </c>
    </row>
    <row r="48" spans="1:1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2" t="s">
        <v>597</v>
      </c>
    </row>
    <row r="49" spans="1:1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  <c r="J49" s="2" t="s">
        <v>597</v>
      </c>
    </row>
    <row r="50" spans="1:1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  <c r="J50" s="2" t="s">
        <v>597</v>
      </c>
    </row>
    <row r="51" spans="1:1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  <c r="J51" s="2" t="s">
        <v>597</v>
      </c>
    </row>
    <row r="52" spans="1:1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  <c r="J52" s="2" t="s">
        <v>597</v>
      </c>
    </row>
    <row r="53" spans="1:1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  <c r="J53" s="2" t="s">
        <v>597</v>
      </c>
    </row>
    <row r="54" spans="1:1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  <c r="J54" s="2" t="s">
        <v>597</v>
      </c>
    </row>
    <row r="55" spans="1:1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  <c r="J55" s="2" t="s">
        <v>597</v>
      </c>
    </row>
    <row r="56" spans="1:1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  <c r="J56" s="2" t="s">
        <v>597</v>
      </c>
    </row>
    <row r="57" spans="1:1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  <c r="J57" s="2" t="s">
        <v>597</v>
      </c>
    </row>
    <row r="58" spans="1:10">
      <c r="A58" s="16"/>
      <c r="B58" s="16"/>
      <c r="C58" s="16"/>
      <c r="D58" s="16"/>
      <c r="E58" s="16"/>
      <c r="F58" s="16"/>
      <c r="G58" s="16"/>
      <c r="H58" s="17"/>
      <c r="I58" s="18"/>
      <c r="J58" s="2" t="s">
        <v>597</v>
      </c>
    </row>
    <row r="59" spans="1:1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2" t="s">
        <v>597</v>
      </c>
    </row>
    <row r="60" spans="1:1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2" t="s">
        <v>597</v>
      </c>
    </row>
    <row r="61" spans="1:1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5.95</v>
      </c>
      <c r="I61" s="70">
        <f>C166</f>
        <v>155.96</v>
      </c>
      <c r="J61" s="2" t="s">
        <v>597</v>
      </c>
    </row>
    <row r="62" spans="1:1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  <c r="J62" s="2" t="s">
        <v>597</v>
      </c>
    </row>
    <row r="63" spans="1:1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2" t="s">
        <v>597</v>
      </c>
    </row>
    <row r="64" spans="1:1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2" t="s">
        <v>597</v>
      </c>
    </row>
    <row r="65" spans="1:1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2" t="s">
        <v>597</v>
      </c>
    </row>
    <row r="66" spans="1:1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2" t="s">
        <v>597</v>
      </c>
    </row>
    <row r="67" spans="1:1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2" t="s">
        <v>597</v>
      </c>
    </row>
    <row r="68" spans="1:10">
      <c r="A68" s="9" t="s">
        <v>18</v>
      </c>
      <c r="B68" s="660" t="s">
        <v>147</v>
      </c>
      <c r="C68" s="660"/>
      <c r="D68" s="660"/>
      <c r="E68" s="660"/>
      <c r="F68" s="660"/>
      <c r="G68" s="660"/>
      <c r="H68" s="71">
        <v>0</v>
      </c>
      <c r="I68" s="70">
        <v>0</v>
      </c>
      <c r="J68" s="2" t="s">
        <v>597</v>
      </c>
    </row>
    <row r="69" spans="1:1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2" t="s">
        <v>597</v>
      </c>
    </row>
    <row r="70" spans="1:1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2" t="s">
        <v>597</v>
      </c>
    </row>
    <row r="71" spans="1:1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2" t="s">
        <v>597</v>
      </c>
    </row>
    <row r="72" spans="1:1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2" t="s">
        <v>597</v>
      </c>
    </row>
    <row r="73" spans="1:1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943.45920000000001</v>
      </c>
      <c r="J73" s="2" t="s">
        <v>597</v>
      </c>
    </row>
    <row r="74" spans="1:10">
      <c r="A74" s="95"/>
      <c r="B74" s="95"/>
      <c r="C74" s="95"/>
      <c r="D74" s="95"/>
      <c r="E74" s="95"/>
      <c r="F74" s="95"/>
      <c r="G74" s="95"/>
      <c r="H74" s="95"/>
      <c r="I74" s="11"/>
      <c r="J74" s="2" t="s">
        <v>597</v>
      </c>
    </row>
    <row r="75" spans="1:1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  <c r="J75" s="2" t="s">
        <v>597</v>
      </c>
    </row>
    <row r="76" spans="1:1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  <c r="J76" s="2" t="s">
        <v>597</v>
      </c>
    </row>
    <row r="77" spans="1:1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  <c r="J77" s="2" t="s">
        <v>597</v>
      </c>
    </row>
    <row r="78" spans="1:1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  <c r="J78" s="2" t="s">
        <v>597</v>
      </c>
    </row>
    <row r="79" spans="1:1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943.45920000000001</v>
      </c>
      <c r="J79" s="2" t="s">
        <v>597</v>
      </c>
    </row>
    <row r="80" spans="1:1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1924.1505</v>
      </c>
      <c r="J80" s="2" t="s">
        <v>597</v>
      </c>
    </row>
    <row r="81" spans="1:10">
      <c r="A81" s="668"/>
      <c r="B81" s="669"/>
      <c r="C81" s="669"/>
      <c r="D81" s="669"/>
      <c r="E81" s="669"/>
      <c r="F81" s="669"/>
      <c r="G81" s="669"/>
      <c r="H81" s="669"/>
      <c r="I81" s="669"/>
      <c r="J81" s="2" t="s">
        <v>597</v>
      </c>
    </row>
    <row r="82" spans="1:10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  <c r="J82" s="2" t="s">
        <v>597</v>
      </c>
    </row>
    <row r="83" spans="1:10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  <c r="J83" s="2" t="s">
        <v>597</v>
      </c>
    </row>
    <row r="84" spans="1:10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  <c r="J84" s="2" t="s">
        <v>597</v>
      </c>
    </row>
    <row r="85" spans="1:10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  <c r="J85" s="2" t="s">
        <v>597</v>
      </c>
    </row>
    <row r="86" spans="1:10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  <c r="J86" s="2" t="s">
        <v>597</v>
      </c>
    </row>
    <row r="87" spans="1:10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  <c r="J87" s="2" t="s">
        <v>597</v>
      </c>
    </row>
    <row r="88" spans="1:10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  <c r="J88" s="2" t="s">
        <v>597</v>
      </c>
    </row>
    <row r="89" spans="1:10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  <c r="J89" s="2" t="s">
        <v>597</v>
      </c>
    </row>
    <row r="90" spans="1:10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  <c r="J90" s="2" t="s">
        <v>597</v>
      </c>
    </row>
    <row r="91" spans="1:10">
      <c r="A91" s="668"/>
      <c r="B91" s="669"/>
      <c r="C91" s="669"/>
      <c r="D91" s="669"/>
      <c r="E91" s="669"/>
      <c r="F91" s="669"/>
      <c r="G91" s="669"/>
      <c r="H91" s="669"/>
      <c r="I91" s="669"/>
      <c r="J91" s="2" t="s">
        <v>597</v>
      </c>
    </row>
    <row r="92" spans="1:10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  <c r="J92" s="2" t="s">
        <v>597</v>
      </c>
    </row>
    <row r="93" spans="1:10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  <c r="J93" s="2" t="s">
        <v>597</v>
      </c>
    </row>
    <row r="94" spans="1:10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  <c r="J94" s="2" t="s">
        <v>597</v>
      </c>
    </row>
    <row r="95" spans="1:10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327.90474999999998</v>
      </c>
      <c r="J95" s="2" t="s">
        <v>597</v>
      </c>
    </row>
    <row r="96" spans="1:10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87.441266666666664</v>
      </c>
      <c r="J96" s="2" t="s">
        <v>597</v>
      </c>
    </row>
    <row r="97" spans="1:10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1.399749303848</v>
      </c>
      <c r="J97" s="2" t="s">
        <v>597</v>
      </c>
    </row>
    <row r="98" spans="1:10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0.72139045000000002</v>
      </c>
      <c r="J98" s="2" t="s">
        <v>597</v>
      </c>
    </row>
    <row r="99" spans="1:10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5.6160641277354246</v>
      </c>
      <c r="J99" s="2" t="s">
        <v>597</v>
      </c>
    </row>
    <row r="100" spans="1:10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  <c r="J100" s="2" t="s">
        <v>597</v>
      </c>
    </row>
    <row r="101" spans="1:10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423.08319999999998</v>
      </c>
      <c r="J101" s="2" t="s">
        <v>597</v>
      </c>
    </row>
    <row r="102" spans="1:10">
      <c r="A102" s="674"/>
      <c r="B102" s="675"/>
      <c r="C102" s="675"/>
      <c r="D102" s="675"/>
      <c r="E102" s="675"/>
      <c r="F102" s="675"/>
      <c r="G102" s="675"/>
      <c r="H102" s="675"/>
      <c r="I102" s="675"/>
      <c r="J102" s="2" t="s">
        <v>597</v>
      </c>
    </row>
    <row r="103" spans="1:10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  <c r="J103" s="2" t="s">
        <v>597</v>
      </c>
    </row>
    <row r="104" spans="1:10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  <c r="J104" s="2" t="s">
        <v>597</v>
      </c>
    </row>
    <row r="105" spans="1:10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  <c r="J105" s="2" t="s">
        <v>597</v>
      </c>
    </row>
    <row r="106" spans="1:10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  <c r="J106" s="2" t="s">
        <v>597</v>
      </c>
    </row>
    <row r="107" spans="1:10">
      <c r="A107" s="94"/>
      <c r="B107" s="94"/>
      <c r="C107" s="94"/>
      <c r="D107" s="94"/>
      <c r="E107" s="94"/>
      <c r="F107" s="94"/>
      <c r="G107" s="94"/>
      <c r="H107" s="94"/>
      <c r="I107" s="94"/>
      <c r="J107" s="2" t="s">
        <v>597</v>
      </c>
    </row>
    <row r="108" spans="1:10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  <c r="J108" s="2" t="s">
        <v>597</v>
      </c>
    </row>
    <row r="109" spans="1:10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  <c r="J109" s="2" t="s">
        <v>597</v>
      </c>
    </row>
    <row r="110" spans="1:10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423.08319999999998</v>
      </c>
      <c r="J110" s="2" t="s">
        <v>597</v>
      </c>
    </row>
    <row r="111" spans="1:10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  <c r="J111" s="2" t="s">
        <v>597</v>
      </c>
    </row>
    <row r="112" spans="1:10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423.08319999999998</v>
      </c>
      <c r="J112" s="2" t="s">
        <v>597</v>
      </c>
    </row>
    <row r="113" spans="1:10">
      <c r="A113" s="674"/>
      <c r="B113" s="675"/>
      <c r="C113" s="675"/>
      <c r="D113" s="675"/>
      <c r="E113" s="675"/>
      <c r="F113" s="675"/>
      <c r="G113" s="675"/>
      <c r="H113" s="675"/>
      <c r="I113" s="675"/>
      <c r="J113" s="2" t="s">
        <v>597</v>
      </c>
    </row>
    <row r="114" spans="1:10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  <c r="J114" s="2" t="s">
        <v>597</v>
      </c>
    </row>
    <row r="115" spans="1:10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  <c r="J115" s="2" t="s">
        <v>597</v>
      </c>
    </row>
    <row r="116" spans="1:10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  <c r="J116" s="2" t="s">
        <v>597</v>
      </c>
    </row>
    <row r="117" spans="1:10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  <c r="J117" s="2" t="s">
        <v>597</v>
      </c>
    </row>
    <row r="118" spans="1:10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  <c r="J118" s="2" t="s">
        <v>597</v>
      </c>
    </row>
    <row r="119" spans="1:10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  <c r="J119" s="2" t="s">
        <v>597</v>
      </c>
    </row>
    <row r="120" spans="1:10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  <c r="J120" s="2" t="s">
        <v>597</v>
      </c>
    </row>
    <row r="121" spans="1:10">
      <c r="A121" s="16"/>
      <c r="B121" s="16"/>
      <c r="C121" s="16"/>
      <c r="D121" s="16"/>
      <c r="E121" s="16"/>
      <c r="F121" s="16"/>
      <c r="G121" s="16"/>
      <c r="H121" s="17"/>
      <c r="I121" s="18"/>
      <c r="J121" s="2" t="s">
        <v>597</v>
      </c>
    </row>
    <row r="122" spans="1:10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  <c r="J122" s="2" t="s">
        <v>597</v>
      </c>
    </row>
    <row r="123" spans="1:10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  <c r="J123" s="2" t="s">
        <v>597</v>
      </c>
    </row>
    <row r="124" spans="1:10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228.55</v>
      </c>
      <c r="J124" s="2" t="s">
        <v>597</v>
      </c>
    </row>
    <row r="125" spans="1:10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325.89</v>
      </c>
      <c r="J125" s="2" t="s">
        <v>597</v>
      </c>
    </row>
    <row r="126" spans="1:10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  <c r="J126" s="2" t="s">
        <v>597</v>
      </c>
    </row>
    <row r="127" spans="1:10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  <c r="J127" s="2" t="s">
        <v>597</v>
      </c>
    </row>
    <row r="128" spans="1:10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35.689492554900916</v>
      </c>
      <c r="J128" s="2" t="s">
        <v>597</v>
      </c>
    </row>
    <row r="129" spans="1:10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164.72073486877346</v>
      </c>
      <c r="J129" s="2" t="s">
        <v>597</v>
      </c>
    </row>
    <row r="130" spans="1:10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  <c r="J130" s="2" t="s">
        <v>597</v>
      </c>
    </row>
    <row r="131" spans="1:10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  <c r="J131" s="2" t="s">
        <v>597</v>
      </c>
    </row>
    <row r="132" spans="1:10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  <c r="J132" s="2" t="s">
        <v>597</v>
      </c>
    </row>
    <row r="133" spans="1:10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  <c r="J133" s="2" t="s">
        <v>597</v>
      </c>
    </row>
    <row r="134" spans="1:10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  <c r="J134" s="2" t="s">
        <v>597</v>
      </c>
    </row>
    <row r="135" spans="1:10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164.72073486877346</v>
      </c>
      <c r="J135" s="2" t="s">
        <v>597</v>
      </c>
    </row>
    <row r="136" spans="1:10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919.57090000000005</v>
      </c>
      <c r="J136" s="2" t="s">
        <v>597</v>
      </c>
    </row>
    <row r="137" spans="1:10">
      <c r="A137" s="95"/>
      <c r="B137" s="95"/>
      <c r="C137" s="95"/>
      <c r="D137" s="95"/>
      <c r="E137" s="95"/>
      <c r="F137" s="95"/>
      <c r="G137" s="95"/>
      <c r="H137" s="25"/>
      <c r="I137" s="11"/>
      <c r="J137" s="2" t="s">
        <v>597</v>
      </c>
    </row>
    <row r="138" spans="1:10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  <c r="J138" s="2" t="s">
        <v>597</v>
      </c>
    </row>
    <row r="139" spans="1:10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  <c r="J139" s="2" t="s">
        <v>597</v>
      </c>
    </row>
    <row r="140" spans="1:10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  <c r="J140" s="2" t="s">
        <v>597</v>
      </c>
    </row>
    <row r="141" spans="1:10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1924.1505</v>
      </c>
      <c r="J141" s="2" t="s">
        <v>597</v>
      </c>
    </row>
    <row r="142" spans="1:10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  <c r="J142" s="2" t="s">
        <v>597</v>
      </c>
    </row>
    <row r="143" spans="1:10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423.08319999999998</v>
      </c>
      <c r="J143" s="2" t="s">
        <v>597</v>
      </c>
    </row>
    <row r="144" spans="1:10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  <c r="J144" s="2" t="s">
        <v>597</v>
      </c>
    </row>
    <row r="145" spans="1:1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4571.1202000000003</v>
      </c>
      <c r="J145" s="2" t="s">
        <v>597</v>
      </c>
    </row>
    <row r="146" spans="1:1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919.57090000000005</v>
      </c>
      <c r="J146" s="2" t="s">
        <v>597</v>
      </c>
    </row>
    <row r="147" spans="1:1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5490.6911</v>
      </c>
      <c r="J147" s="2" t="s">
        <v>597</v>
      </c>
    </row>
    <row r="148" spans="1:10">
      <c r="A148" s="5"/>
      <c r="B148" s="5"/>
      <c r="C148" s="5"/>
      <c r="D148" s="5"/>
      <c r="E148" s="5"/>
      <c r="F148" s="5"/>
      <c r="G148" s="5"/>
      <c r="H148" s="5"/>
      <c r="I148" s="69"/>
      <c r="J148" s="2" t="s">
        <v>597</v>
      </c>
    </row>
    <row r="149" spans="1:1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  <c r="J149" s="2" t="s">
        <v>597</v>
      </c>
    </row>
    <row r="150" spans="1:10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  <c r="J150" s="2" t="s">
        <v>597</v>
      </c>
    </row>
    <row r="151" spans="1:10" ht="27.65" customHeight="1">
      <c r="A151" s="681" t="str">
        <f>I23</f>
        <v>Limpeza</v>
      </c>
      <c r="B151" s="682"/>
      <c r="C151" s="683">
        <f>(I147)</f>
        <v>5490.6911</v>
      </c>
      <c r="D151" s="683"/>
      <c r="E151" s="72">
        <v>1</v>
      </c>
      <c r="F151" s="683">
        <f>(I147)</f>
        <v>5490.6911</v>
      </c>
      <c r="G151" s="683"/>
      <c r="H151" s="72">
        <v>2</v>
      </c>
      <c r="I151" s="141">
        <f>F151*H151</f>
        <v>10981.3822</v>
      </c>
      <c r="J151" s="2" t="s">
        <v>597</v>
      </c>
    </row>
    <row r="152" spans="1:1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/>
      <c r="J152" s="2" t="s">
        <v>597</v>
      </c>
    </row>
    <row r="153" spans="1:1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10981.3822</v>
      </c>
      <c r="J153" s="2" t="s">
        <v>597</v>
      </c>
    </row>
    <row r="154" spans="1:1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131776.5864</v>
      </c>
      <c r="J154" s="2" t="s">
        <v>597</v>
      </c>
    </row>
    <row r="155" spans="1:10">
      <c r="A155" s="85"/>
      <c r="B155" s="85"/>
      <c r="C155" s="85"/>
      <c r="D155" s="85"/>
      <c r="E155" s="85"/>
      <c r="F155" s="85"/>
      <c r="G155" s="85"/>
      <c r="H155" s="85"/>
      <c r="I155" s="86"/>
      <c r="J155" s="2" t="s">
        <v>597</v>
      </c>
    </row>
    <row r="156" spans="1:1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2" t="s">
        <v>597</v>
      </c>
    </row>
    <row r="157" spans="1:10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2" t="s">
        <v>597</v>
      </c>
    </row>
    <row r="158" spans="1:10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  <c r="J158" s="2" t="s">
        <v>597</v>
      </c>
    </row>
    <row r="159" spans="1:10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2" t="s">
        <v>597</v>
      </c>
    </row>
    <row r="160" spans="1:10">
      <c r="A160" s="180">
        <v>5.95</v>
      </c>
      <c r="B160" s="37">
        <v>1</v>
      </c>
      <c r="C160" s="34">
        <v>44</v>
      </c>
      <c r="D160" s="38">
        <f>A160*B160*C160</f>
        <v>261.8</v>
      </c>
      <c r="E160" s="32"/>
      <c r="F160" s="204">
        <v>26.833300000000001</v>
      </c>
      <c r="G160" s="34">
        <v>1</v>
      </c>
      <c r="H160" s="34">
        <v>30</v>
      </c>
      <c r="I160" s="97">
        <f>F160*G160*H160</f>
        <v>804.99900000000002</v>
      </c>
      <c r="J160" s="2" t="s">
        <v>597</v>
      </c>
    </row>
    <row r="161" spans="1:10">
      <c r="A161" s="77"/>
      <c r="B161" s="78"/>
      <c r="C161" s="79"/>
      <c r="D161" s="80"/>
      <c r="E161" s="32"/>
      <c r="F161" s="81"/>
      <c r="G161" s="79"/>
      <c r="H161" s="79"/>
      <c r="I161" s="82"/>
      <c r="J161" s="2" t="s">
        <v>597</v>
      </c>
    </row>
    <row r="162" spans="1:10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2" t="s">
        <v>597</v>
      </c>
    </row>
    <row r="163" spans="1:10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  <c r="J163" s="2" t="s">
        <v>597</v>
      </c>
    </row>
    <row r="164" spans="1:10">
      <c r="A164" s="46"/>
      <c r="B164" s="40"/>
      <c r="C164" s="40"/>
      <c r="D164" s="41"/>
      <c r="E164" s="32"/>
      <c r="F164" s="42"/>
      <c r="G164" s="40"/>
      <c r="H164" s="40"/>
      <c r="I164" s="43"/>
      <c r="J164" s="2" t="s">
        <v>597</v>
      </c>
    </row>
    <row r="165" spans="1:10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2" t="s">
        <v>597</v>
      </c>
    </row>
    <row r="166" spans="1:10" ht="26.25" customHeight="1" thickBot="1">
      <c r="A166" s="44">
        <f>D160</f>
        <v>261.8</v>
      </c>
      <c r="B166" s="50">
        <f>C163</f>
        <v>105.84</v>
      </c>
      <c r="C166" s="51">
        <f>A166-B166</f>
        <v>155.96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  <c r="J166" s="2" t="s">
        <v>597</v>
      </c>
    </row>
    <row r="167" spans="1:10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10">
      <c r="A168" s="83"/>
      <c r="B168" s="84"/>
      <c r="C168" s="84"/>
      <c r="D168" s="84"/>
      <c r="E168" s="84"/>
      <c r="F168" s="84"/>
      <c r="G168" s="84"/>
      <c r="H168" s="84"/>
      <c r="I168" s="84"/>
    </row>
    <row r="169" spans="1:10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10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10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</row>
    <row r="172" spans="1:10">
      <c r="A172" s="59" t="s">
        <v>11</v>
      </c>
      <c r="B172" s="219" t="s">
        <v>403</v>
      </c>
      <c r="C172" s="220"/>
      <c r="D172" s="220"/>
      <c r="E172" s="220"/>
      <c r="F172" s="220"/>
      <c r="G172" s="220"/>
      <c r="H172" s="129"/>
      <c r="I172" s="130">
        <f>I221</f>
        <v>17497.021499999999</v>
      </c>
    </row>
    <row r="173" spans="1:10">
      <c r="A173" s="125" t="s">
        <v>12</v>
      </c>
      <c r="B173" s="222" t="s">
        <v>97</v>
      </c>
      <c r="C173" s="223"/>
      <c r="D173" s="223"/>
      <c r="E173" s="223"/>
      <c r="F173" s="223"/>
      <c r="G173" s="223"/>
      <c r="H173" s="63"/>
      <c r="I173" s="126"/>
    </row>
    <row r="174" spans="1:10" ht="15" customHeight="1">
      <c r="A174" s="60" t="s">
        <v>13</v>
      </c>
      <c r="B174" s="775" t="s">
        <v>501</v>
      </c>
      <c r="C174" s="776"/>
      <c r="D174" s="776"/>
      <c r="E174" s="776"/>
      <c r="F174" s="776"/>
      <c r="G174" s="776"/>
      <c r="H174" s="63"/>
      <c r="I174" s="122"/>
    </row>
    <row r="175" spans="1:10" ht="15.75" customHeight="1" thickBot="1">
      <c r="A175" s="64"/>
      <c r="B175" s="777" t="s">
        <v>404</v>
      </c>
      <c r="C175" s="778"/>
      <c r="D175" s="778"/>
      <c r="E175" s="778"/>
      <c r="F175" s="778"/>
      <c r="G175" s="778"/>
      <c r="H175" s="65"/>
      <c r="I175" s="131">
        <f>TRUNC(((I172+I174)*12),4)</f>
        <v>209964.258</v>
      </c>
    </row>
    <row r="176" spans="1:10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10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10">
      <c r="A178" s="118"/>
      <c r="B178" s="118"/>
      <c r="C178" s="118"/>
      <c r="D178" s="118"/>
      <c r="E178" s="118"/>
      <c r="F178" s="118"/>
      <c r="G178" s="118"/>
      <c r="H178" s="118"/>
      <c r="I178" s="118"/>
    </row>
    <row r="179" spans="1:10" s="84" customFormat="1">
      <c r="J179" s="2"/>
    </row>
    <row r="180" spans="1:10" s="84" customFormat="1">
      <c r="A180" s="67" t="s">
        <v>109</v>
      </c>
      <c r="B180" s="2"/>
      <c r="C180" s="2"/>
      <c r="D180" s="2"/>
      <c r="E180" s="2"/>
      <c r="F180" s="2"/>
      <c r="G180" s="2"/>
      <c r="H180" s="2"/>
      <c r="I180" s="2"/>
      <c r="J180" s="2"/>
    </row>
    <row r="181" spans="1:10" s="84" customFormat="1">
      <c r="A181" s="669"/>
      <c r="B181" s="669"/>
      <c r="C181" s="669"/>
      <c r="D181" s="669"/>
      <c r="E181" s="669"/>
      <c r="F181" s="669"/>
      <c r="G181" s="669"/>
      <c r="H181" s="669"/>
      <c r="I181" s="669"/>
      <c r="J181" s="2"/>
    </row>
    <row r="182" spans="1:10" s="84" customFormat="1">
      <c r="A182" s="669" t="s">
        <v>402</v>
      </c>
      <c r="B182" s="669"/>
      <c r="C182" s="669"/>
      <c r="D182" s="669"/>
      <c r="E182" s="669"/>
      <c r="F182" s="669"/>
      <c r="G182" s="669"/>
      <c r="H182" s="669"/>
      <c r="I182" s="669"/>
      <c r="J182" s="2"/>
    </row>
    <row r="183" spans="1:10" s="84" customFormat="1">
      <c r="A183" s="743" t="s">
        <v>110</v>
      </c>
      <c r="B183" s="744"/>
      <c r="C183" s="743" t="s">
        <v>111</v>
      </c>
      <c r="D183" s="745"/>
      <c r="E183" s="744"/>
      <c r="F183" s="746" t="s">
        <v>112</v>
      </c>
      <c r="G183" s="747"/>
      <c r="H183" s="743" t="s">
        <v>113</v>
      </c>
      <c r="I183" s="744"/>
      <c r="J183" s="2"/>
    </row>
    <row r="184" spans="1:10" s="84" customFormat="1">
      <c r="A184" s="748" t="s">
        <v>114</v>
      </c>
      <c r="B184" s="749"/>
      <c r="C184" s="750">
        <f>1/800</f>
        <v>1.25E-3</v>
      </c>
      <c r="D184" s="751"/>
      <c r="E184" s="752"/>
      <c r="F184" s="753">
        <f>C151</f>
        <v>5490.6911</v>
      </c>
      <c r="G184" s="752"/>
      <c r="H184" s="753">
        <f>TRUNC((C184*F184),2)</f>
        <v>6.86</v>
      </c>
      <c r="I184" s="754"/>
      <c r="J184" s="2"/>
    </row>
    <row r="185" spans="1:10" s="84" customFormat="1">
      <c r="A185" s="760" t="s">
        <v>511</v>
      </c>
      <c r="B185" s="761"/>
      <c r="C185" s="767">
        <f>1/(30*800)</f>
        <v>4.1666666666666665E-5</v>
      </c>
      <c r="D185" s="768"/>
      <c r="E185" s="769"/>
      <c r="F185" s="764">
        <f>'Supervisor '!I153</f>
        <v>7536.3797000000004</v>
      </c>
      <c r="G185" s="765"/>
      <c r="H185" s="764">
        <f>TRUNC((C185*F185),2)</f>
        <v>0.31</v>
      </c>
      <c r="I185" s="766"/>
      <c r="J185" s="2"/>
    </row>
    <row r="186" spans="1:10" s="84" customFormat="1">
      <c r="A186" s="760" t="s">
        <v>24</v>
      </c>
      <c r="B186" s="762"/>
      <c r="C186" s="376"/>
      <c r="D186" s="373"/>
      <c r="E186" s="373"/>
      <c r="F186" s="377"/>
      <c r="G186" s="377"/>
      <c r="H186" s="764">
        <f>TRUNC((H184+H185),2)</f>
        <v>7.17</v>
      </c>
      <c r="I186" s="766"/>
      <c r="J186" s="2"/>
    </row>
    <row r="187" spans="1:10" s="84" customFormat="1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s="84" customFormat="1">
      <c r="A188" s="668" t="s">
        <v>498</v>
      </c>
      <c r="B188" s="669"/>
      <c r="C188" s="669"/>
      <c r="D188" s="669"/>
      <c r="E188" s="669"/>
      <c r="F188" s="669"/>
      <c r="G188" s="669"/>
      <c r="H188" s="669"/>
      <c r="I188" s="669"/>
      <c r="J188" s="2"/>
    </row>
    <row r="189" spans="1:10" s="84" customFormat="1">
      <c r="A189" s="743" t="s">
        <v>110</v>
      </c>
      <c r="B189" s="744"/>
      <c r="C189" s="743" t="s">
        <v>111</v>
      </c>
      <c r="D189" s="745"/>
      <c r="E189" s="744"/>
      <c r="F189" s="746" t="s">
        <v>112</v>
      </c>
      <c r="G189" s="747"/>
      <c r="H189" s="743" t="s">
        <v>113</v>
      </c>
      <c r="I189" s="744"/>
      <c r="J189" s="2"/>
    </row>
    <row r="190" spans="1:10" s="84" customFormat="1">
      <c r="A190" s="748" t="s">
        <v>114</v>
      </c>
      <c r="B190" s="749"/>
      <c r="C190" s="750">
        <f>1/200</f>
        <v>5.0000000000000001E-3</v>
      </c>
      <c r="D190" s="751"/>
      <c r="E190" s="752"/>
      <c r="F190" s="753">
        <f>C151</f>
        <v>5490.6911</v>
      </c>
      <c r="G190" s="752"/>
      <c r="H190" s="753">
        <f>TRUNC((C190*F190),2)</f>
        <v>27.45</v>
      </c>
      <c r="I190" s="754"/>
      <c r="J190" s="2"/>
    </row>
    <row r="191" spans="1:10" s="84" customFormat="1">
      <c r="A191" s="760" t="s">
        <v>511</v>
      </c>
      <c r="B191" s="761"/>
      <c r="C191" s="767">
        <f>1/(30*200)</f>
        <v>1.6666666666666666E-4</v>
      </c>
      <c r="D191" s="768"/>
      <c r="E191" s="769"/>
      <c r="F191" s="764">
        <f>'Supervisor '!I153</f>
        <v>7536.3797000000004</v>
      </c>
      <c r="G191" s="765"/>
      <c r="H191" s="764">
        <f>TRUNC((C191*F191),2)</f>
        <v>1.25</v>
      </c>
      <c r="I191" s="766"/>
      <c r="J191" s="2"/>
    </row>
    <row r="192" spans="1:10" s="84" customFormat="1">
      <c r="A192" s="760" t="s">
        <v>24</v>
      </c>
      <c r="B192" s="762"/>
      <c r="C192" s="376"/>
      <c r="D192" s="373"/>
      <c r="E192" s="373"/>
      <c r="F192" s="377"/>
      <c r="G192" s="377"/>
      <c r="H192" s="764">
        <f>TRUNC((H190+H191),2)</f>
        <v>28.7</v>
      </c>
      <c r="I192" s="766"/>
      <c r="J192" s="2"/>
    </row>
    <row r="193" spans="1:10" s="84" customFormat="1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s="84" customFormat="1">
      <c r="A194" s="669" t="s">
        <v>401</v>
      </c>
      <c r="B194" s="669"/>
      <c r="C194" s="669"/>
      <c r="D194" s="669"/>
      <c r="E194" s="669"/>
      <c r="F194" s="669"/>
      <c r="G194" s="669"/>
      <c r="H194" s="669"/>
      <c r="I194" s="669"/>
      <c r="J194" s="2"/>
    </row>
    <row r="195" spans="1:10" s="84" customFormat="1">
      <c r="A195" s="743" t="s">
        <v>110</v>
      </c>
      <c r="B195" s="744"/>
      <c r="C195" s="743" t="s">
        <v>111</v>
      </c>
      <c r="D195" s="745"/>
      <c r="E195" s="744"/>
      <c r="F195" s="746" t="s">
        <v>112</v>
      </c>
      <c r="G195" s="747"/>
      <c r="H195" s="743" t="s">
        <v>113</v>
      </c>
      <c r="I195" s="744"/>
      <c r="J195" s="2"/>
    </row>
    <row r="196" spans="1:10" s="84" customFormat="1">
      <c r="A196" s="748" t="s">
        <v>114</v>
      </c>
      <c r="B196" s="749"/>
      <c r="C196" s="750">
        <f>1/1800</f>
        <v>5.5555555555555556E-4</v>
      </c>
      <c r="D196" s="751"/>
      <c r="E196" s="752"/>
      <c r="F196" s="753">
        <f>C151</f>
        <v>5490.6911</v>
      </c>
      <c r="G196" s="752"/>
      <c r="H196" s="753">
        <f>TRUNC((C196*F196),2)</f>
        <v>3.05</v>
      </c>
      <c r="I196" s="754"/>
      <c r="J196" s="2"/>
    </row>
    <row r="197" spans="1:10" s="84" customFormat="1">
      <c r="A197" s="760" t="s">
        <v>511</v>
      </c>
      <c r="B197" s="761"/>
      <c r="C197" s="767">
        <f>1/(30*1800)</f>
        <v>1.8518518518518518E-5</v>
      </c>
      <c r="D197" s="768"/>
      <c r="E197" s="769"/>
      <c r="F197" s="764">
        <f>'Supervisor '!I153</f>
        <v>7536.3797000000004</v>
      </c>
      <c r="G197" s="765"/>
      <c r="H197" s="764">
        <f>TRUNC((C197*F197),2)</f>
        <v>0.13</v>
      </c>
      <c r="I197" s="766"/>
      <c r="J197" s="2"/>
    </row>
    <row r="198" spans="1:10" s="84" customFormat="1">
      <c r="A198" s="760" t="s">
        <v>24</v>
      </c>
      <c r="B198" s="762"/>
      <c r="C198" s="376"/>
      <c r="D198" s="373"/>
      <c r="E198" s="373"/>
      <c r="F198" s="377"/>
      <c r="G198" s="377"/>
      <c r="H198" s="764">
        <f>TRUNC((H196+H197),2)</f>
        <v>3.18</v>
      </c>
      <c r="I198" s="766"/>
      <c r="J198" s="2"/>
    </row>
    <row r="199" spans="1:10" s="84" customFormat="1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s="84" customFormat="1">
      <c r="A200" s="668" t="s">
        <v>500</v>
      </c>
      <c r="B200" s="669"/>
      <c r="C200" s="669"/>
      <c r="D200" s="669"/>
      <c r="E200" s="669"/>
      <c r="F200" s="669"/>
      <c r="G200" s="669"/>
      <c r="H200" s="669"/>
      <c r="I200" s="669"/>
      <c r="J200" s="2"/>
    </row>
    <row r="201" spans="1:10" s="84" customFormat="1" ht="70">
      <c r="A201" s="748" t="s">
        <v>110</v>
      </c>
      <c r="B201" s="749"/>
      <c r="C201" s="68" t="s">
        <v>119</v>
      </c>
      <c r="D201" s="68" t="s">
        <v>120</v>
      </c>
      <c r="E201" s="68" t="s">
        <v>121</v>
      </c>
      <c r="F201" s="68" t="s">
        <v>122</v>
      </c>
      <c r="G201" s="68" t="s">
        <v>123</v>
      </c>
      <c r="H201" s="68" t="s">
        <v>124</v>
      </c>
      <c r="I201" s="119"/>
      <c r="J201" s="2"/>
    </row>
    <row r="202" spans="1:10" s="84" customFormat="1">
      <c r="A202" s="771" t="s">
        <v>114</v>
      </c>
      <c r="B202" s="771"/>
      <c r="C202" s="66">
        <f>1/300</f>
        <v>3.3333333333333335E-3</v>
      </c>
      <c r="D202" s="30">
        <v>16</v>
      </c>
      <c r="E202" s="66">
        <f>1/188.76</f>
        <v>5.2977325704598437E-3</v>
      </c>
      <c r="F202" s="147">
        <f>C202*D202*E202</f>
        <v>2.8254573709119167E-4</v>
      </c>
      <c r="G202" s="29">
        <f>C151</f>
        <v>5490.6911</v>
      </c>
      <c r="H202" s="29">
        <f>TRUNC((F202*G202),2)</f>
        <v>1.55</v>
      </c>
      <c r="I202" s="2"/>
      <c r="J202" s="2"/>
    </row>
    <row r="203" spans="1:10" s="84" customFormat="1">
      <c r="A203" s="760" t="s">
        <v>511</v>
      </c>
      <c r="B203" s="761"/>
      <c r="C203" s="372">
        <f>1/(30*300)</f>
        <v>1.1111111111111112E-4</v>
      </c>
      <c r="D203" s="373">
        <v>16</v>
      </c>
      <c r="E203" s="66">
        <f>1/188.76</f>
        <v>5.2977325704598437E-3</v>
      </c>
      <c r="F203" s="147">
        <f>C203*D203*E203</f>
        <v>9.418191236373056E-6</v>
      </c>
      <c r="G203" s="29">
        <f>'Supervisor '!I153</f>
        <v>7536.3797000000004</v>
      </c>
      <c r="H203" s="29">
        <f>TRUNC((F203*G203),2)</f>
        <v>7.0000000000000007E-2</v>
      </c>
      <c r="I203" s="368"/>
      <c r="J203" s="2"/>
    </row>
    <row r="204" spans="1:10" s="84" customFormat="1">
      <c r="A204" s="760" t="s">
        <v>24</v>
      </c>
      <c r="B204" s="762"/>
      <c r="C204" s="379"/>
      <c r="D204" s="373"/>
      <c r="E204" s="373"/>
      <c r="F204" s="377"/>
      <c r="G204" s="377"/>
      <c r="H204" s="378">
        <f>TRUNC((H202+H203),2)</f>
        <v>1.62</v>
      </c>
      <c r="I204" s="159"/>
      <c r="J204" s="2"/>
    </row>
    <row r="205" spans="1:10" s="84" customFormat="1">
      <c r="A205" s="143"/>
      <c r="B205" s="143"/>
      <c r="C205" s="143"/>
      <c r="D205" s="143"/>
      <c r="E205" s="143"/>
      <c r="F205" s="143"/>
      <c r="G205" s="143"/>
      <c r="H205" s="2"/>
      <c r="I205" s="2"/>
      <c r="J205" s="2"/>
    </row>
    <row r="206" spans="1:10" s="84" customFormat="1">
      <c r="A206" s="67" t="s">
        <v>592</v>
      </c>
      <c r="B206" s="2"/>
      <c r="C206" s="2"/>
      <c r="D206" s="2"/>
      <c r="E206" s="2"/>
      <c r="F206" s="2"/>
      <c r="G206" s="2"/>
      <c r="H206" s="2"/>
      <c r="I206" s="2"/>
      <c r="J206" s="2"/>
    </row>
    <row r="207" spans="1:10" s="84" customFormat="1" ht="70">
      <c r="A207" s="748" t="s">
        <v>110</v>
      </c>
      <c r="B207" s="749"/>
      <c r="C207" s="68" t="s">
        <v>119</v>
      </c>
      <c r="D207" s="68" t="s">
        <v>120</v>
      </c>
      <c r="E207" s="68" t="s">
        <v>121</v>
      </c>
      <c r="F207" s="68" t="s">
        <v>122</v>
      </c>
      <c r="G207" s="68" t="s">
        <v>123</v>
      </c>
      <c r="H207" s="68" t="s">
        <v>124</v>
      </c>
      <c r="I207" s="2"/>
      <c r="J207" s="2"/>
    </row>
    <row r="208" spans="1:10" s="84" customFormat="1">
      <c r="A208" s="771" t="s">
        <v>114</v>
      </c>
      <c r="B208" s="771"/>
      <c r="C208" s="66">
        <f>1/130</f>
        <v>7.6923076923076927E-3</v>
      </c>
      <c r="D208" s="30">
        <v>8</v>
      </c>
      <c r="E208" s="66">
        <f>1/188.76</f>
        <v>5.2977325704598437E-3</v>
      </c>
      <c r="F208" s="30">
        <f>C208*D208*E208</f>
        <v>3.2601431202829807E-4</v>
      </c>
      <c r="G208" s="29">
        <f>C151</f>
        <v>5490.6911</v>
      </c>
      <c r="H208" s="371">
        <f>TRUNC((F208*G208),2)</f>
        <v>1.79</v>
      </c>
      <c r="I208" s="2"/>
      <c r="J208" s="2"/>
    </row>
    <row r="209" spans="1:10" s="84" customFormat="1">
      <c r="A209" s="760" t="s">
        <v>511</v>
      </c>
      <c r="B209" s="761"/>
      <c r="C209" s="372">
        <f>1/(4*300)</f>
        <v>8.3333333333333339E-4</v>
      </c>
      <c r="D209" s="373">
        <v>8</v>
      </c>
      <c r="E209" s="66">
        <f>1/188.76</f>
        <v>5.2977325704598437E-3</v>
      </c>
      <c r="F209" s="147">
        <f>C209*D209*E209</f>
        <v>3.5318217136398959E-5</v>
      </c>
      <c r="G209" s="374">
        <f>'Supervisor '!I153</f>
        <v>7536.3797000000004</v>
      </c>
      <c r="H209" s="375">
        <f>TRUNC((F209*G209),4)</f>
        <v>0.2661</v>
      </c>
      <c r="I209" s="2"/>
      <c r="J209" s="2"/>
    </row>
    <row r="210" spans="1:10" s="84" customFormat="1">
      <c r="A210" s="760" t="s">
        <v>24</v>
      </c>
      <c r="B210" s="761"/>
      <c r="C210" s="376"/>
      <c r="D210" s="373"/>
      <c r="E210" s="373"/>
      <c r="F210" s="377"/>
      <c r="G210" s="377"/>
      <c r="H210" s="378">
        <f>TRUNC((H208+H209),4)</f>
        <v>2.0560999999999998</v>
      </c>
      <c r="I210" s="2"/>
      <c r="J210" s="2"/>
    </row>
    <row r="211" spans="1:10" s="84" customFormat="1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s="84" customFormat="1">
      <c r="A212" s="772" t="s">
        <v>115</v>
      </c>
      <c r="B212" s="773"/>
      <c r="C212" s="773"/>
      <c r="D212" s="773"/>
      <c r="E212" s="773"/>
      <c r="F212" s="773"/>
      <c r="G212" s="773"/>
      <c r="H212" s="773"/>
      <c r="I212" s="774"/>
      <c r="J212" s="2"/>
    </row>
    <row r="213" spans="1:10" s="84" customFormat="1">
      <c r="A213" s="743" t="s">
        <v>117</v>
      </c>
      <c r="B213" s="745"/>
      <c r="C213" s="745"/>
      <c r="D213" s="744"/>
      <c r="E213" s="746" t="s">
        <v>116</v>
      </c>
      <c r="F213" s="770"/>
      <c r="G213" s="747"/>
      <c r="H213" s="9" t="s">
        <v>118</v>
      </c>
      <c r="I213" s="9" t="s">
        <v>107</v>
      </c>
      <c r="J213" s="2"/>
    </row>
    <row r="214" spans="1:10" s="84" customFormat="1">
      <c r="A214" s="671" t="s">
        <v>504</v>
      </c>
      <c r="B214" s="672"/>
      <c r="C214" s="672"/>
      <c r="D214" s="673"/>
      <c r="E214" s="753">
        <f>H186</f>
        <v>7.17</v>
      </c>
      <c r="F214" s="751"/>
      <c r="G214" s="752"/>
      <c r="H214" s="22">
        <f>'Limpeza - Imóveis'!U11-'Limpeza - Imóveis'!D11</f>
        <v>1304.5</v>
      </c>
      <c r="I214" s="29">
        <f>E214*H214</f>
        <v>9353.2649999999994</v>
      </c>
      <c r="J214" s="2"/>
    </row>
    <row r="215" spans="1:10" s="84" customFormat="1">
      <c r="A215" s="671" t="s">
        <v>505</v>
      </c>
      <c r="B215" s="672"/>
      <c r="C215" s="672"/>
      <c r="D215" s="673"/>
      <c r="E215" s="753">
        <f>H192</f>
        <v>28.7</v>
      </c>
      <c r="F215" s="763"/>
      <c r="G215" s="754"/>
      <c r="H215" s="22">
        <f>'Limpeza - Imóveis'!D11</f>
        <v>91.18</v>
      </c>
      <c r="I215" s="29">
        <f>E215*H215</f>
        <v>2616.866</v>
      </c>
      <c r="J215" s="2"/>
    </row>
    <row r="216" spans="1:10" s="84" customFormat="1">
      <c r="A216" s="671" t="s">
        <v>506</v>
      </c>
      <c r="B216" s="672"/>
      <c r="C216" s="672"/>
      <c r="D216" s="673"/>
      <c r="E216" s="753">
        <f>H198</f>
        <v>3.18</v>
      </c>
      <c r="F216" s="751"/>
      <c r="G216" s="752"/>
      <c r="H216" s="22">
        <f>'Limpeza - Imóveis'!V11+'Limpeza - Imóveis'!W11+'Limpeza - Imóveis'!X11</f>
        <v>1200</v>
      </c>
      <c r="I216" s="29">
        <f t="shared" ref="I216:I219" si="0">E216*H216</f>
        <v>3816</v>
      </c>
      <c r="J216" s="2"/>
    </row>
    <row r="217" spans="1:10" s="84" customFormat="1">
      <c r="A217" s="671" t="s">
        <v>589</v>
      </c>
      <c r="B217" s="672"/>
      <c r="C217" s="672"/>
      <c r="D217" s="673"/>
      <c r="E217" s="753">
        <f>H204</f>
        <v>1.62</v>
      </c>
      <c r="F217" s="751"/>
      <c r="G217" s="752"/>
      <c r="H217" s="22">
        <f>'Limpeza - Imóveis'!AA11+'Limpeza - Imóveis'!AB11</f>
        <v>675.346</v>
      </c>
      <c r="I217" s="29">
        <f t="shared" si="0"/>
        <v>1094.06052</v>
      </c>
      <c r="J217" s="2"/>
    </row>
    <row r="218" spans="1:10" s="84" customFormat="1">
      <c r="A218" s="671" t="s">
        <v>590</v>
      </c>
      <c r="B218" s="672"/>
      <c r="C218" s="672"/>
      <c r="D218" s="673"/>
      <c r="E218" s="753">
        <f>H210</f>
        <v>2.0560999999999998</v>
      </c>
      <c r="F218" s="763"/>
      <c r="G218" s="754"/>
      <c r="H218" s="22">
        <f>'Limpeza - Imóveis'!AD11</f>
        <v>300</v>
      </c>
      <c r="I218" s="29">
        <f t="shared" si="0"/>
        <v>616.82999999999993</v>
      </c>
      <c r="J218" s="2"/>
    </row>
    <row r="219" spans="1:10" s="84" customFormat="1">
      <c r="A219" s="671" t="s">
        <v>593</v>
      </c>
      <c r="B219" s="672"/>
      <c r="C219" s="672"/>
      <c r="D219" s="673"/>
      <c r="E219" s="753">
        <v>0</v>
      </c>
      <c r="F219" s="763"/>
      <c r="G219" s="754"/>
      <c r="H219" s="370"/>
      <c r="I219" s="29">
        <f t="shared" si="0"/>
        <v>0</v>
      </c>
      <c r="J219" s="2"/>
    </row>
    <row r="220" spans="1:10" s="84" customFormat="1">
      <c r="A220" s="671" t="s">
        <v>502</v>
      </c>
      <c r="B220" s="672"/>
      <c r="C220" s="672"/>
      <c r="D220" s="673"/>
      <c r="E220" s="753">
        <f>H212</f>
        <v>0</v>
      </c>
      <c r="F220" s="763"/>
      <c r="G220" s="754"/>
      <c r="H220" s="22"/>
      <c r="I220" s="29">
        <f>E220*H220</f>
        <v>0</v>
      </c>
      <c r="J220" s="2"/>
    </row>
    <row r="221" spans="1:10" s="84" customFormat="1">
      <c r="A221" s="684" t="s">
        <v>24</v>
      </c>
      <c r="B221" s="685"/>
      <c r="C221" s="685"/>
      <c r="D221" s="685"/>
      <c r="E221" s="685"/>
      <c r="F221" s="685"/>
      <c r="G221" s="686"/>
      <c r="H221" s="121"/>
      <c r="I221" s="10">
        <f>TRUNC(SUM(I214:I220),4)</f>
        <v>17497.021499999999</v>
      </c>
      <c r="J221" s="2"/>
    </row>
    <row r="222" spans="1:10" s="84" customFormat="1">
      <c r="J222" s="2"/>
    </row>
    <row r="223" spans="1:10" s="84" customFormat="1">
      <c r="J223" s="2"/>
    </row>
    <row r="224" spans="1:10" s="84" customFormat="1">
      <c r="J224" s="2"/>
    </row>
    <row r="225" spans="10:10" s="84" customFormat="1">
      <c r="J225" s="2"/>
    </row>
    <row r="226" spans="10:10" s="84" customFormat="1">
      <c r="J226" s="2"/>
    </row>
    <row r="227" spans="10:10" s="84" customFormat="1">
      <c r="J227" s="2"/>
    </row>
    <row r="228" spans="10:10" s="84" customFormat="1">
      <c r="J228" s="2"/>
    </row>
    <row r="229" spans="10:10" s="84" customFormat="1">
      <c r="J229" s="2"/>
    </row>
    <row r="230" spans="10:10" s="84" customFormat="1">
      <c r="J230" s="2"/>
    </row>
    <row r="231" spans="10:10" s="84" customFormat="1">
      <c r="J231" s="2"/>
    </row>
    <row r="232" spans="10:10" s="84" customFormat="1">
      <c r="J232" s="2"/>
    </row>
    <row r="233" spans="10:10" s="84" customFormat="1">
      <c r="J233" s="2"/>
    </row>
    <row r="234" spans="10:10" s="84" customFormat="1">
      <c r="J234" s="2"/>
    </row>
    <row r="235" spans="10:10" s="84" customFormat="1">
      <c r="J235" s="2"/>
    </row>
    <row r="236" spans="10:10" s="84" customFormat="1">
      <c r="J236" s="2"/>
    </row>
    <row r="237" spans="10:10" s="84" customFormat="1">
      <c r="J237" s="2"/>
    </row>
    <row r="238" spans="10:10" s="84" customFormat="1">
      <c r="J238" s="2"/>
    </row>
    <row r="239" spans="10:10" s="84" customFormat="1">
      <c r="J239" s="2"/>
    </row>
    <row r="240" spans="10:10" s="84" customFormat="1">
      <c r="J240" s="2"/>
    </row>
    <row r="241" spans="10:10" s="84" customFormat="1">
      <c r="J241" s="2"/>
    </row>
    <row r="242" spans="10:10" s="84" customFormat="1">
      <c r="J242" s="2"/>
    </row>
    <row r="243" spans="10:10" s="84" customFormat="1">
      <c r="J243" s="2"/>
    </row>
    <row r="244" spans="10:10" s="84" customFormat="1">
      <c r="J244" s="2"/>
    </row>
    <row r="245" spans="10:10" s="84" customFormat="1">
      <c r="J245" s="2"/>
    </row>
    <row r="246" spans="10:10" s="84" customFormat="1">
      <c r="J246" s="2"/>
    </row>
    <row r="247" spans="10:10" s="84" customFormat="1">
      <c r="J247" s="2"/>
    </row>
    <row r="248" spans="10:10" s="84" customFormat="1">
      <c r="J248" s="2"/>
    </row>
    <row r="249" spans="10:10" s="84" customFormat="1">
      <c r="J249" s="2"/>
    </row>
    <row r="250" spans="10:10" s="84" customFormat="1">
      <c r="J250" s="2"/>
    </row>
    <row r="251" spans="10:10" s="84" customFormat="1">
      <c r="J251" s="2"/>
    </row>
    <row r="252" spans="10:10" s="84" customFormat="1">
      <c r="J252" s="2"/>
    </row>
    <row r="253" spans="10:10" s="84" customFormat="1">
      <c r="J253" s="2"/>
    </row>
    <row r="254" spans="10:10" s="84" customFormat="1">
      <c r="J254" s="2"/>
    </row>
    <row r="255" spans="10:10" s="84" customFormat="1">
      <c r="J255" s="2"/>
    </row>
    <row r="256" spans="10:10" s="84" customFormat="1">
      <c r="J256" s="2"/>
    </row>
    <row r="257" spans="10:10" s="84" customFormat="1">
      <c r="J257" s="2"/>
    </row>
    <row r="258" spans="10:10" s="84" customFormat="1">
      <c r="J258" s="2"/>
    </row>
    <row r="259" spans="10:10" s="84" customFormat="1">
      <c r="J259" s="2"/>
    </row>
    <row r="260" spans="10:10" s="84" customFormat="1">
      <c r="J260" s="2"/>
    </row>
    <row r="261" spans="10:10" s="84" customFormat="1">
      <c r="J261" s="2"/>
    </row>
    <row r="262" spans="10:10" s="84" customFormat="1">
      <c r="J262" s="2"/>
    </row>
    <row r="263" spans="10:10" s="84" customFormat="1">
      <c r="J263" s="2"/>
    </row>
    <row r="264" spans="10:10" s="84" customFormat="1">
      <c r="J264" s="2"/>
    </row>
    <row r="265" spans="10:10" s="84" customFormat="1">
      <c r="J265" s="2"/>
    </row>
    <row r="266" spans="10:10" s="84" customFormat="1">
      <c r="J266" s="2"/>
    </row>
    <row r="267" spans="10:10" s="84" customFormat="1">
      <c r="J267" s="2"/>
    </row>
    <row r="268" spans="10:10" s="84" customFormat="1">
      <c r="J268" s="2"/>
    </row>
    <row r="269" spans="10:10" s="84" customFormat="1">
      <c r="J269" s="2"/>
    </row>
    <row r="270" spans="10:10" s="84" customFormat="1">
      <c r="J270" s="2"/>
    </row>
    <row r="271" spans="10:10" s="84" customFormat="1">
      <c r="J271" s="2"/>
    </row>
    <row r="272" spans="10:10" s="84" customFormat="1">
      <c r="J272" s="2"/>
    </row>
    <row r="273" spans="10:10" s="84" customFormat="1">
      <c r="J273" s="2"/>
    </row>
    <row r="274" spans="10:10" s="84" customFormat="1">
      <c r="J274" s="2"/>
    </row>
    <row r="275" spans="10:10" s="84" customFormat="1">
      <c r="J275" s="2"/>
    </row>
    <row r="276" spans="10:10" s="84" customFormat="1">
      <c r="J276" s="2"/>
    </row>
    <row r="277" spans="10:10" s="84" customFormat="1">
      <c r="J277" s="2"/>
    </row>
    <row r="278" spans="10:10" s="84" customFormat="1">
      <c r="J278" s="2"/>
    </row>
    <row r="279" spans="10:10" s="84" customFormat="1">
      <c r="J279" s="2"/>
    </row>
    <row r="280" spans="10:10" s="84" customFormat="1">
      <c r="J280" s="2"/>
    </row>
    <row r="281" spans="10:10" s="84" customFormat="1">
      <c r="J281" s="2"/>
    </row>
    <row r="282" spans="10:10" s="84" customFormat="1">
      <c r="J282" s="2"/>
    </row>
    <row r="283" spans="10:10" s="84" customFormat="1">
      <c r="J283" s="2"/>
    </row>
    <row r="284" spans="10:10" s="84" customFormat="1">
      <c r="J284" s="2"/>
    </row>
    <row r="285" spans="10:10" s="84" customFormat="1">
      <c r="J285" s="2"/>
    </row>
    <row r="286" spans="10:10" s="84" customFormat="1">
      <c r="J286" s="2"/>
    </row>
    <row r="287" spans="10:10" s="84" customFormat="1">
      <c r="J287" s="2"/>
    </row>
    <row r="288" spans="10:10" s="84" customFormat="1">
      <c r="J288" s="2"/>
    </row>
    <row r="289" spans="10:10" s="84" customFormat="1">
      <c r="J289" s="2"/>
    </row>
    <row r="290" spans="10:10" s="84" customFormat="1">
      <c r="J290" s="2"/>
    </row>
    <row r="291" spans="10:10" s="84" customFormat="1">
      <c r="J291" s="2"/>
    </row>
    <row r="292" spans="10:10" s="84" customFormat="1">
      <c r="J292" s="2"/>
    </row>
    <row r="293" spans="10:10" s="84" customFormat="1">
      <c r="J293" s="2"/>
    </row>
    <row r="294" spans="10:10" s="84" customFormat="1">
      <c r="J294" s="2"/>
    </row>
    <row r="295" spans="10:10" s="84" customFormat="1">
      <c r="J295" s="2"/>
    </row>
    <row r="296" spans="10:10" s="84" customFormat="1">
      <c r="J296" s="2"/>
    </row>
    <row r="297" spans="10:10" s="84" customFormat="1">
      <c r="J297" s="2"/>
    </row>
    <row r="298" spans="10:10" s="84" customFormat="1">
      <c r="J298" s="2"/>
    </row>
    <row r="299" spans="10:10" s="84" customFormat="1">
      <c r="J299" s="2"/>
    </row>
    <row r="300" spans="10:10" s="84" customFormat="1">
      <c r="J300" s="2"/>
    </row>
    <row r="301" spans="10:10" s="84" customFormat="1">
      <c r="J301" s="2"/>
    </row>
    <row r="302" spans="10:10" s="84" customFormat="1">
      <c r="J302" s="2"/>
    </row>
    <row r="303" spans="10:10" s="84" customFormat="1">
      <c r="J303" s="2"/>
    </row>
    <row r="304" spans="10:10" s="84" customFormat="1">
      <c r="J304" s="2"/>
    </row>
    <row r="305" spans="10:10" s="84" customFormat="1">
      <c r="J305" s="2"/>
    </row>
    <row r="306" spans="10:10" s="84" customFormat="1">
      <c r="J306" s="2"/>
    </row>
    <row r="307" spans="10:10" s="84" customFormat="1">
      <c r="J307" s="2"/>
    </row>
    <row r="308" spans="10:10" s="84" customFormat="1">
      <c r="J308" s="2"/>
    </row>
    <row r="309" spans="10:10" s="84" customFormat="1">
      <c r="J309" s="2"/>
    </row>
    <row r="310" spans="10:10" s="84" customFormat="1">
      <c r="J310" s="2"/>
    </row>
    <row r="311" spans="10:10" s="84" customFormat="1">
      <c r="J311" s="2"/>
    </row>
    <row r="312" spans="10:10" s="84" customFormat="1">
      <c r="J312" s="2"/>
    </row>
    <row r="313" spans="10:10" s="84" customFormat="1">
      <c r="J313" s="2"/>
    </row>
    <row r="314" spans="10:10" s="84" customFormat="1">
      <c r="J314" s="2"/>
    </row>
    <row r="315" spans="10:10" s="84" customFormat="1">
      <c r="J315" s="2"/>
    </row>
    <row r="316" spans="10:10" s="84" customFormat="1">
      <c r="J316" s="2"/>
    </row>
    <row r="317" spans="10:10" s="84" customFormat="1">
      <c r="J317" s="2"/>
    </row>
    <row r="318" spans="10:10" s="84" customFormat="1">
      <c r="J318" s="2"/>
    </row>
    <row r="319" spans="10:10" s="84" customFormat="1">
      <c r="J319" s="2"/>
    </row>
    <row r="320" spans="10:10" s="84" customFormat="1">
      <c r="J320" s="2"/>
    </row>
    <row r="321" spans="10:10" s="84" customFormat="1">
      <c r="J321" s="2"/>
    </row>
    <row r="322" spans="10:10" s="84" customFormat="1">
      <c r="J322" s="2"/>
    </row>
    <row r="323" spans="10:10" s="84" customFormat="1">
      <c r="J323" s="2"/>
    </row>
    <row r="324" spans="10:10" s="84" customFormat="1">
      <c r="J324" s="2"/>
    </row>
    <row r="325" spans="10:10" s="84" customFormat="1">
      <c r="J325" s="2"/>
    </row>
    <row r="326" spans="10:10" s="84" customFormat="1">
      <c r="J326" s="2"/>
    </row>
    <row r="327" spans="10:10" s="84" customFormat="1">
      <c r="J327" s="2"/>
    </row>
    <row r="328" spans="10:10" s="84" customFormat="1">
      <c r="J328" s="2"/>
    </row>
    <row r="329" spans="10:10" s="84" customFormat="1">
      <c r="J329" s="2"/>
    </row>
    <row r="330" spans="10:10" s="84" customFormat="1">
      <c r="J330" s="2"/>
    </row>
    <row r="331" spans="10:10" s="84" customFormat="1">
      <c r="J331" s="2"/>
    </row>
    <row r="332" spans="10:10" s="84" customFormat="1">
      <c r="J332" s="2"/>
    </row>
    <row r="333" spans="10:10" s="84" customFormat="1">
      <c r="J333" s="2"/>
    </row>
    <row r="334" spans="10:10" s="84" customFormat="1">
      <c r="J334" s="2"/>
    </row>
    <row r="335" spans="10:10" s="84" customFormat="1">
      <c r="J335" s="2"/>
    </row>
    <row r="336" spans="10:10" s="84" customFormat="1">
      <c r="J336" s="2"/>
    </row>
    <row r="337" spans="10:10" s="84" customFormat="1">
      <c r="J337" s="2"/>
    </row>
    <row r="338" spans="10:10" s="84" customFormat="1">
      <c r="J338" s="2"/>
    </row>
    <row r="339" spans="10:10" s="84" customFormat="1">
      <c r="J339" s="2"/>
    </row>
    <row r="340" spans="10:10" s="84" customFormat="1">
      <c r="J340" s="2"/>
    </row>
    <row r="341" spans="10:10" s="84" customFormat="1">
      <c r="J341" s="2"/>
    </row>
    <row r="342" spans="10:10" s="84" customFormat="1">
      <c r="J342" s="2"/>
    </row>
    <row r="343" spans="10:10" s="84" customFormat="1">
      <c r="J343" s="2"/>
    </row>
    <row r="344" spans="10:10" s="84" customFormat="1">
      <c r="J344" s="2"/>
    </row>
    <row r="345" spans="10:10" s="84" customFormat="1">
      <c r="J345" s="2"/>
    </row>
    <row r="346" spans="10:10" s="84" customFormat="1">
      <c r="J346" s="2"/>
    </row>
    <row r="347" spans="10:10" s="84" customFormat="1">
      <c r="J347" s="2"/>
    </row>
    <row r="348" spans="10:10" s="84" customFormat="1">
      <c r="J348" s="2"/>
    </row>
    <row r="349" spans="10:10" s="84" customFormat="1">
      <c r="J349" s="2"/>
    </row>
    <row r="350" spans="10:10" s="84" customFormat="1">
      <c r="J350" s="2"/>
    </row>
    <row r="351" spans="10:10" s="84" customFormat="1">
      <c r="J351" s="2"/>
    </row>
    <row r="352" spans="10:10" s="84" customFormat="1">
      <c r="J352" s="2"/>
    </row>
    <row r="353" spans="10:10" s="84" customFormat="1">
      <c r="J353" s="2"/>
    </row>
    <row r="354" spans="10:10" s="84" customFormat="1">
      <c r="J354" s="2"/>
    </row>
    <row r="355" spans="10:10" s="84" customFormat="1">
      <c r="J355" s="2"/>
    </row>
    <row r="356" spans="10:10" s="84" customFormat="1">
      <c r="J356" s="2"/>
    </row>
    <row r="357" spans="10:10" s="84" customFormat="1">
      <c r="J357" s="2"/>
    </row>
    <row r="358" spans="10:10" s="84" customFormat="1">
      <c r="J358" s="2"/>
    </row>
    <row r="359" spans="10:10" s="84" customFormat="1">
      <c r="J359" s="2"/>
    </row>
    <row r="360" spans="10:10" s="84" customFormat="1">
      <c r="J360" s="2"/>
    </row>
    <row r="361" spans="10:10" s="84" customFormat="1">
      <c r="J361" s="2"/>
    </row>
    <row r="362" spans="10:10" s="84" customFormat="1">
      <c r="J362" s="2"/>
    </row>
    <row r="363" spans="10:10" s="84" customFormat="1">
      <c r="J363" s="2"/>
    </row>
    <row r="364" spans="10:10" s="84" customFormat="1">
      <c r="J364" s="2"/>
    </row>
    <row r="365" spans="10:10" s="84" customFormat="1">
      <c r="J365" s="2"/>
    </row>
    <row r="366" spans="10:10" s="84" customFormat="1">
      <c r="J366" s="2"/>
    </row>
    <row r="367" spans="10:10" s="84" customFormat="1">
      <c r="J367" s="2"/>
    </row>
    <row r="368" spans="10:10" s="84" customFormat="1">
      <c r="J368" s="2"/>
    </row>
    <row r="369" spans="10:10" s="84" customFormat="1">
      <c r="J369" s="2"/>
    </row>
    <row r="370" spans="10:10" s="84" customFormat="1">
      <c r="J370" s="2"/>
    </row>
    <row r="371" spans="10:10" s="84" customFormat="1">
      <c r="J371" s="2"/>
    </row>
    <row r="372" spans="10:10" s="84" customFormat="1">
      <c r="J372" s="2"/>
    </row>
    <row r="373" spans="10:10" s="84" customFormat="1">
      <c r="J373" s="2"/>
    </row>
    <row r="374" spans="10:10" s="84" customFormat="1">
      <c r="J374" s="2"/>
    </row>
    <row r="375" spans="10:10" s="84" customFormat="1">
      <c r="J375" s="2"/>
    </row>
    <row r="376" spans="10:10" s="84" customFormat="1">
      <c r="J376" s="2"/>
    </row>
    <row r="377" spans="10:10" s="84" customFormat="1">
      <c r="J377" s="2"/>
    </row>
    <row r="378" spans="10:10" s="84" customFormat="1">
      <c r="J378" s="2"/>
    </row>
    <row r="379" spans="10:10" s="84" customFormat="1">
      <c r="J379" s="2"/>
    </row>
    <row r="380" spans="10:10" s="84" customFormat="1">
      <c r="J380" s="2"/>
    </row>
    <row r="381" spans="10:10" s="84" customFormat="1">
      <c r="J381" s="2"/>
    </row>
    <row r="382" spans="10:10" s="84" customFormat="1">
      <c r="J382" s="2"/>
    </row>
    <row r="383" spans="10:10" s="84" customFormat="1">
      <c r="J383" s="2"/>
    </row>
    <row r="384" spans="10:10" s="84" customFormat="1">
      <c r="J384" s="2"/>
    </row>
    <row r="385" spans="10:10" s="84" customFormat="1">
      <c r="J385" s="2"/>
    </row>
    <row r="386" spans="10:10" s="84" customFormat="1">
      <c r="J386" s="2"/>
    </row>
    <row r="387" spans="10:10" s="84" customFormat="1">
      <c r="J387" s="2"/>
    </row>
    <row r="388" spans="10:10" s="84" customFormat="1">
      <c r="J388" s="2"/>
    </row>
    <row r="389" spans="10:10" s="84" customFormat="1">
      <c r="J389" s="2"/>
    </row>
    <row r="390" spans="10:10" s="84" customFormat="1">
      <c r="J390" s="2"/>
    </row>
    <row r="391" spans="10:10" s="84" customFormat="1">
      <c r="J391" s="2"/>
    </row>
    <row r="392" spans="10:10" s="84" customFormat="1">
      <c r="J392" s="2"/>
    </row>
    <row r="393" spans="10:10" s="84" customFormat="1">
      <c r="J393" s="2"/>
    </row>
    <row r="394" spans="10:10" s="84" customFormat="1">
      <c r="J394" s="2"/>
    </row>
    <row r="395" spans="10:10" s="84" customFormat="1">
      <c r="J395" s="2"/>
    </row>
    <row r="396" spans="10:10" s="84" customFormat="1">
      <c r="J396" s="2"/>
    </row>
    <row r="397" spans="10:10" s="84" customFormat="1">
      <c r="J397" s="2"/>
    </row>
    <row r="398" spans="10:10" s="84" customFormat="1">
      <c r="J398" s="2"/>
    </row>
    <row r="399" spans="10:10" s="84" customFormat="1">
      <c r="J399" s="2"/>
    </row>
    <row r="400" spans="10:10" s="84" customFormat="1">
      <c r="J400" s="2"/>
    </row>
    <row r="401" spans="10:10" s="84" customFormat="1">
      <c r="J401" s="2"/>
    </row>
    <row r="402" spans="10:10" s="84" customFormat="1">
      <c r="J402" s="2"/>
    </row>
    <row r="403" spans="10:10" s="84" customFormat="1">
      <c r="J403" s="2"/>
    </row>
  </sheetData>
  <mergeCells count="230"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20:B20"/>
    <mergeCell ref="A22:I22"/>
    <mergeCell ref="B23:H23"/>
    <mergeCell ref="B24:H24"/>
    <mergeCell ref="B25:H25"/>
    <mergeCell ref="B26:H26"/>
    <mergeCell ref="A17:B17"/>
    <mergeCell ref="C17:D17"/>
    <mergeCell ref="E17:I17"/>
    <mergeCell ref="A18:B18"/>
    <mergeCell ref="C18:D18"/>
    <mergeCell ref="E18:I18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A181:I181"/>
    <mergeCell ref="B171:H171"/>
    <mergeCell ref="B174:G174"/>
    <mergeCell ref="B175:G175"/>
    <mergeCell ref="A177:I177"/>
    <mergeCell ref="A157:D157"/>
    <mergeCell ref="F157:I157"/>
    <mergeCell ref="A158:D158"/>
    <mergeCell ref="F158:I158"/>
    <mergeCell ref="A169:I169"/>
    <mergeCell ref="B170:I170"/>
    <mergeCell ref="A185:B185"/>
    <mergeCell ref="C185:E185"/>
    <mergeCell ref="F185:G185"/>
    <mergeCell ref="H185:I185"/>
    <mergeCell ref="A186:B186"/>
    <mergeCell ref="H186:I186"/>
    <mergeCell ref="A182:I182"/>
    <mergeCell ref="A183:B183"/>
    <mergeCell ref="C183:E183"/>
    <mergeCell ref="F183:G183"/>
    <mergeCell ref="H183:I183"/>
    <mergeCell ref="A184:B184"/>
    <mergeCell ref="C184:E184"/>
    <mergeCell ref="F184:G184"/>
    <mergeCell ref="H184:I184"/>
    <mergeCell ref="A191:B191"/>
    <mergeCell ref="C191:E191"/>
    <mergeCell ref="F191:G191"/>
    <mergeCell ref="H191:I191"/>
    <mergeCell ref="A192:B192"/>
    <mergeCell ref="H192:I192"/>
    <mergeCell ref="A188:I188"/>
    <mergeCell ref="A189:B189"/>
    <mergeCell ref="C189:E189"/>
    <mergeCell ref="F189:G189"/>
    <mergeCell ref="H189:I189"/>
    <mergeCell ref="A190:B190"/>
    <mergeCell ref="C190:E190"/>
    <mergeCell ref="F190:G190"/>
    <mergeCell ref="H190:I190"/>
    <mergeCell ref="A194:I194"/>
    <mergeCell ref="A195:B195"/>
    <mergeCell ref="C195:E195"/>
    <mergeCell ref="F195:G195"/>
    <mergeCell ref="H195:I195"/>
    <mergeCell ref="A196:B196"/>
    <mergeCell ref="C196:E196"/>
    <mergeCell ref="F196:G196"/>
    <mergeCell ref="H196:I196"/>
    <mergeCell ref="A200:I200"/>
    <mergeCell ref="A201:B201"/>
    <mergeCell ref="A202:B202"/>
    <mergeCell ref="A203:B203"/>
    <mergeCell ref="A204:B204"/>
    <mergeCell ref="A207:B207"/>
    <mergeCell ref="A197:B197"/>
    <mergeCell ref="C197:E197"/>
    <mergeCell ref="F197:G197"/>
    <mergeCell ref="H197:I197"/>
    <mergeCell ref="A198:B198"/>
    <mergeCell ref="H198:I198"/>
    <mergeCell ref="A214:D214"/>
    <mergeCell ref="E214:G214"/>
    <mergeCell ref="A215:D215"/>
    <mergeCell ref="E215:G215"/>
    <mergeCell ref="A216:D216"/>
    <mergeCell ref="E216:G216"/>
    <mergeCell ref="A208:B208"/>
    <mergeCell ref="A209:B209"/>
    <mergeCell ref="A210:B210"/>
    <mergeCell ref="A212:I212"/>
    <mergeCell ref="A213:D213"/>
    <mergeCell ref="E213:G213"/>
    <mergeCell ref="A220:D220"/>
    <mergeCell ref="E220:G220"/>
    <mergeCell ref="A221:G221"/>
    <mergeCell ref="A217:D217"/>
    <mergeCell ref="E217:G217"/>
    <mergeCell ref="A218:D218"/>
    <mergeCell ref="E218:G218"/>
    <mergeCell ref="A219:D219"/>
    <mergeCell ref="E219:G219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1"/>
  <headerFooter alignWithMargins="0"/>
  <rowBreaks count="2" manualBreakCount="2">
    <brk id="91" max="9" man="1"/>
    <brk id="167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ilha15">
    <tabColor rgb="FF92D050"/>
  </sheetPr>
  <dimension ref="A1:BL370"/>
  <sheetViews>
    <sheetView view="pageBreakPreview" topLeftCell="A139" zoomScale="93" zoomScaleNormal="96" zoomScaleSheetLayoutView="93" workbookViewId="0">
      <selection activeCell="M170" sqref="M170"/>
    </sheetView>
  </sheetViews>
  <sheetFormatPr defaultColWidth="9.1796875" defaultRowHeight="14"/>
  <cols>
    <col min="1" max="1" width="13.26953125" style="2" customWidth="1"/>
    <col min="2" max="2" width="16.1796875" style="2" customWidth="1"/>
    <col min="3" max="3" width="11.726562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6.26953125" style="2" customWidth="1"/>
    <col min="20" max="20" width="9.1796875" customWidth="1"/>
    <col min="21" max="64" width="9.1796875" style="84"/>
    <col min="65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55" t="s">
        <v>418</v>
      </c>
      <c r="B3" s="153"/>
      <c r="C3" s="156"/>
      <c r="D3" s="156"/>
      <c r="E3" s="84"/>
      <c r="F3" s="84"/>
      <c r="G3" s="84"/>
      <c r="H3" s="84"/>
      <c r="I3" s="84"/>
    </row>
    <row r="4" spans="1:9">
      <c r="A4" s="30" t="s">
        <v>419</v>
      </c>
      <c r="B4" s="4"/>
      <c r="C4" s="30" t="s">
        <v>420</v>
      </c>
      <c r="D4" s="157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348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9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9">
      <c r="A22" s="684" t="s">
        <v>40</v>
      </c>
      <c r="B22" s="685"/>
      <c r="C22" s="685"/>
      <c r="D22" s="685"/>
      <c r="E22" s="685"/>
      <c r="F22" s="685"/>
      <c r="G22" s="685"/>
      <c r="H22" s="685"/>
      <c r="I22" s="686"/>
    </row>
    <row r="23" spans="1:9">
      <c r="A23" s="30">
        <v>1</v>
      </c>
      <c r="B23" s="671" t="s">
        <v>10</v>
      </c>
      <c r="C23" s="672"/>
      <c r="D23" s="672"/>
      <c r="E23" s="672"/>
      <c r="F23" s="672"/>
      <c r="G23" s="672"/>
      <c r="H23" s="673"/>
      <c r="I23" s="30" t="s">
        <v>36</v>
      </c>
    </row>
    <row r="24" spans="1:9">
      <c r="A24" s="30">
        <v>2</v>
      </c>
      <c r="B24" s="671" t="s">
        <v>41</v>
      </c>
      <c r="C24" s="672"/>
      <c r="D24" s="672"/>
      <c r="E24" s="672"/>
      <c r="F24" s="672"/>
      <c r="G24" s="672"/>
      <c r="H24" s="673"/>
      <c r="I24" s="30" t="s">
        <v>294</v>
      </c>
    </row>
    <row r="25" spans="1:9">
      <c r="A25" s="30">
        <v>3</v>
      </c>
      <c r="B25" s="671" t="s">
        <v>9</v>
      </c>
      <c r="C25" s="672"/>
      <c r="D25" s="672"/>
      <c r="E25" s="672"/>
      <c r="F25" s="672"/>
      <c r="G25" s="672"/>
      <c r="H25" s="673"/>
      <c r="I25" s="176">
        <v>1764</v>
      </c>
    </row>
    <row r="26" spans="1:9">
      <c r="A26" s="30">
        <v>4</v>
      </c>
      <c r="B26" s="671" t="s">
        <v>8</v>
      </c>
      <c r="C26" s="672"/>
      <c r="D26" s="672"/>
      <c r="E26" s="672"/>
      <c r="F26" s="672"/>
      <c r="G26" s="672"/>
      <c r="H26" s="673"/>
      <c r="I26" s="30" t="s">
        <v>37</v>
      </c>
    </row>
    <row r="27" spans="1:9">
      <c r="A27" s="30">
        <v>5</v>
      </c>
      <c r="B27" s="671" t="s">
        <v>7</v>
      </c>
      <c r="C27" s="672"/>
      <c r="D27" s="672"/>
      <c r="E27" s="672"/>
      <c r="F27" s="672"/>
      <c r="G27" s="672"/>
      <c r="H27" s="673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53" t="s">
        <v>30</v>
      </c>
      <c r="B29" s="653"/>
      <c r="C29" s="653"/>
      <c r="D29" s="653"/>
      <c r="E29" s="653"/>
      <c r="F29" s="653"/>
      <c r="G29" s="653"/>
      <c r="H29" s="653"/>
      <c r="I29" s="653"/>
    </row>
    <row r="30" spans="1:9">
      <c r="A30" s="146">
        <v>1</v>
      </c>
      <c r="B30" s="654" t="s">
        <v>19</v>
      </c>
      <c r="C30" s="655"/>
      <c r="D30" s="655"/>
      <c r="E30" s="655"/>
      <c r="F30" s="655"/>
      <c r="G30" s="656"/>
      <c r="H30" s="146" t="s">
        <v>1</v>
      </c>
      <c r="I30" s="146" t="s">
        <v>1</v>
      </c>
    </row>
    <row r="31" spans="1:9">
      <c r="A31" s="9" t="s">
        <v>11</v>
      </c>
      <c r="B31" s="671" t="s">
        <v>33</v>
      </c>
      <c r="C31" s="672"/>
      <c r="D31" s="672"/>
      <c r="E31" s="672"/>
      <c r="F31" s="672"/>
      <c r="G31" s="673"/>
      <c r="H31" s="147"/>
      <c r="I31" s="29">
        <f>(I25/220)*200</f>
        <v>1603.6363636363635</v>
      </c>
    </row>
    <row r="32" spans="1:9">
      <c r="A32" s="9" t="s">
        <v>12</v>
      </c>
      <c r="B32" s="671" t="s">
        <v>314</v>
      </c>
      <c r="C32" s="672"/>
      <c r="D32" s="672"/>
      <c r="E32" s="672"/>
      <c r="F32" s="672"/>
      <c r="G32" s="673"/>
      <c r="H32" s="29"/>
      <c r="I32" s="29">
        <v>122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1725.6362999999999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143.74550378999999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47.972689139999993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191.71809999999999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383.47088000000002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47.933860000000003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57.520631999999999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28.760316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19.173544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11.504126400000001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3.8347088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153.388352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705.58640000000003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4.5</v>
      </c>
      <c r="I61" s="70">
        <f>C166</f>
        <v>101.7818181818182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0" t="s">
        <v>147</v>
      </c>
      <c r="C68" s="660"/>
      <c r="D68" s="660"/>
      <c r="E68" s="660"/>
      <c r="F68" s="660"/>
      <c r="G68" s="660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889.28099999999995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191.71809999999999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705.58640000000003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889.28099999999995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1786.5854999999999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7.1901512499999995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0.57521209999999989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59.36188872000001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33.554039166666662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12.347886413333335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1.0737292533333336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114.10290000000001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302.19372499999997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80.58499333333333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1.2899949030807998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0.66482619499999995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5.1757083073643901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389.9092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389.9092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389.9092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211.47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301.52999999999997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32.67163789083201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150.7921748807631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0.02</v>
      </c>
      <c r="I135" s="209">
        <f>(I145+I124+I125)/(1-SUM(E128:H135))*H135</f>
        <v>100.52811658717542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0.1744</v>
      </c>
      <c r="I136" s="10">
        <f>TRUNC(SUM(I124:I135),4)</f>
        <v>796.99189999999999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1725.6362999999999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1786.5854999999999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114.10290000000001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389.9092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4229.4138999999996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796.99189999999999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5026.4058000000005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42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Limpeza</v>
      </c>
      <c r="B151" s="682"/>
      <c r="C151" s="683">
        <f>(I147)</f>
        <v>5026.4058000000005</v>
      </c>
      <c r="D151" s="683"/>
      <c r="E151" s="72">
        <v>1</v>
      </c>
      <c r="F151" s="683">
        <f>(I147)</f>
        <v>5026.4058000000005</v>
      </c>
      <c r="G151" s="683"/>
      <c r="H151" s="72">
        <v>1</v>
      </c>
      <c r="I151" s="141">
        <f>F151*H151</f>
        <v>5026.4058000000005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5026.4058000000005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60316.869599999998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316</v>
      </c>
      <c r="B158" s="692"/>
      <c r="C158" s="692"/>
      <c r="D158" s="692"/>
      <c r="E158" s="32"/>
      <c r="F158" s="692" t="s">
        <v>440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4.5</v>
      </c>
      <c r="B160" s="37">
        <v>1</v>
      </c>
      <c r="C160" s="34">
        <v>44</v>
      </c>
      <c r="D160" s="38">
        <f>A160*B160*C160</f>
        <v>198</v>
      </c>
      <c r="E160" s="32"/>
      <c r="F160" s="203">
        <v>26.833300000000001</v>
      </c>
      <c r="G160" s="34">
        <v>1</v>
      </c>
      <c r="H160" s="34">
        <v>30</v>
      </c>
      <c r="I160" s="97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1603.6363636363635</v>
      </c>
      <c r="B163" s="34">
        <v>6</v>
      </c>
      <c r="C163" s="38">
        <f>A163*B163/100</f>
        <v>96.218181818181804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198</v>
      </c>
      <c r="B166" s="50">
        <f>C163</f>
        <v>96.218181818181804</v>
      </c>
      <c r="C166" s="51">
        <f>A166-B166</f>
        <v>101.7818181818182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 ht="15" customHeight="1">
      <c r="A167" s="236"/>
      <c r="B167" s="236"/>
      <c r="C167" s="236"/>
      <c r="D167" s="40"/>
      <c r="E167" s="32"/>
      <c r="F167" s="236"/>
      <c r="G167" s="237"/>
      <c r="H167" s="236"/>
      <c r="I167" s="40"/>
    </row>
    <row r="168" spans="1:9" ht="1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 s="84" customFormat="1"/>
    <row r="170" spans="1:9" s="84" customFormat="1"/>
    <row r="171" spans="1:9" s="84" customFormat="1"/>
    <row r="172" spans="1:9" s="84" customFormat="1"/>
    <row r="173" spans="1:9" s="84" customFormat="1"/>
    <row r="174" spans="1:9" s="84" customFormat="1"/>
    <row r="175" spans="1:9" s="84" customFormat="1"/>
    <row r="176" spans="1:9" s="84" customFormat="1"/>
    <row r="177" s="84" customFormat="1"/>
    <row r="178" s="84" customFormat="1"/>
    <row r="179" s="84" customFormat="1"/>
    <row r="180" s="84" customFormat="1"/>
    <row r="181" s="84" customFormat="1"/>
    <row r="182" s="84" customFormat="1"/>
    <row r="183" s="84" customFormat="1"/>
    <row r="184" s="84" customFormat="1"/>
    <row r="185" s="84" customFormat="1"/>
    <row r="186" s="84" customFormat="1"/>
    <row r="187" s="84" customFormat="1"/>
    <row r="188" s="84" customFormat="1"/>
    <row r="189" s="84" customFormat="1"/>
    <row r="190" s="84" customFormat="1"/>
    <row r="191" s="84" customFormat="1"/>
    <row r="192" s="84" customFormat="1"/>
    <row r="193" s="84" customFormat="1"/>
    <row r="194" s="84" customFormat="1"/>
    <row r="195" s="84" customFormat="1"/>
    <row r="196" s="84" customFormat="1"/>
    <row r="197" s="84" customFormat="1"/>
    <row r="198" s="84" customFormat="1"/>
    <row r="199" s="84" customFormat="1"/>
    <row r="200" s="84" customFormat="1"/>
    <row r="201" s="84" customFormat="1"/>
    <row r="202" s="84" customFormat="1"/>
    <row r="203" s="84" customFormat="1"/>
    <row r="204" s="84" customFormat="1"/>
    <row r="205" s="84" customFormat="1"/>
    <row r="206" s="84" customFormat="1"/>
    <row r="207" s="84" customFormat="1"/>
    <row r="208" s="84" customFormat="1"/>
    <row r="209" s="84" customFormat="1"/>
    <row r="210" s="84" customFormat="1"/>
    <row r="211" s="84" customFormat="1"/>
    <row r="212" s="84" customFormat="1"/>
    <row r="213" s="84" customFormat="1"/>
    <row r="214" s="84" customFormat="1"/>
    <row r="215" s="84" customFormat="1"/>
    <row r="216" s="84" customFormat="1"/>
    <row r="217" s="84" customFormat="1"/>
    <row r="218" s="84" customFormat="1"/>
    <row r="219" s="84" customFormat="1"/>
    <row r="220" s="84" customFormat="1"/>
    <row r="221" s="84" customFormat="1"/>
    <row r="222" s="84" customFormat="1"/>
    <row r="223" s="84" customFormat="1"/>
    <row r="224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</sheetData>
  <customSheetViews>
    <customSheetView guid="{7D072CBA-4F2D-4FAE-88D9-B6A678BA20E4}" showPageBreaks="1" printArea="1" view="pageBreakPreview">
      <selection activeCell="I33" sqref="I3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25" sqref="I2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36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36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I33" sqref="I3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2" manualBreakCount="2">
    <brk id="91" max="9" man="1"/>
    <brk id="167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I222"/>
  <sheetViews>
    <sheetView view="pageBreakPreview" topLeftCell="A16" zoomScaleNormal="96" zoomScaleSheetLayoutView="100" workbookViewId="0">
      <selection activeCell="O45" sqref="O45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6.7265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344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</row>
    <row r="24" spans="1: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1</v>
      </c>
      <c r="I30" s="146" t="s">
        <v>1</v>
      </c>
    </row>
    <row r="31" spans="1:9">
      <c r="A31" s="9" t="s">
        <v>11</v>
      </c>
      <c r="B31" s="648" t="s">
        <v>33</v>
      </c>
      <c r="C31" s="648"/>
      <c r="D31" s="648"/>
      <c r="E31" s="648"/>
      <c r="F31" s="648"/>
      <c r="G31" s="648"/>
      <c r="H31" s="147"/>
      <c r="I31" s="29">
        <f>(I25)</f>
        <v>1764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29"/>
      <c r="I32" s="29">
        <v>122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/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/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/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/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/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1886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157.10380000000001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52.430799999999998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209.53460000000001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419.10692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52.388365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62.866037999999996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31.433018999999998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20.955345999999999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12.5732076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4.1910692000000003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167.64276799999999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771.1567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</v>
      </c>
      <c r="I61" s="70">
        <f>C166</f>
        <v>70.16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643.99919999999997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0" t="s">
        <v>147</v>
      </c>
      <c r="C68" s="660"/>
      <c r="D68" s="660"/>
      <c r="E68" s="660"/>
      <c r="F68" s="660"/>
      <c r="G68" s="660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857.65920000000006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209.53460000000001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771.1567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857.65920000000006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1838.3505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7.8583333333333334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0.6286666666666666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64.878400000000013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36.672222222222224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13.495377777777779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1.1735111111111114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124.70650000000001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320.75474999999994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(8/30/12)</f>
        <v>2.2222222222222223E-2</v>
      </c>
      <c r="I96" s="29">
        <f>(I38+I80+I90)*H96</f>
        <v>85.534599999999998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1.3692276126479999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0.70566044999999999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5.493605216989824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0.1075</v>
      </c>
      <c r="I101" s="10">
        <f>TRUNC(SUM(I95:I100),4)</f>
        <v>413.8578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413.8578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413.8578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223.8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319.12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34.947612426352435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161.29667273701125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161.29667273701125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900.46090000000004</v>
      </c>
    </row>
    <row r="137" spans="1:9">
      <c r="A137" s="95"/>
      <c r="B137" s="95"/>
      <c r="C137" s="95"/>
      <c r="D137" s="95"/>
      <c r="E137" s="95"/>
      <c r="F137" s="95"/>
      <c r="G137" s="95"/>
      <c r="H137" s="190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1886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1838.3505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124.70650000000001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413.8578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4476.0947999999999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900.46090000000004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5376.5556999999999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9" ht="4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9" ht="27.65" customHeight="1">
      <c r="A151" s="681" t="str">
        <f>I23</f>
        <v>Limpeza</v>
      </c>
      <c r="B151" s="682"/>
      <c r="C151" s="683">
        <f>(I147)</f>
        <v>5376.5556999999999</v>
      </c>
      <c r="D151" s="683"/>
      <c r="E151" s="72">
        <v>1</v>
      </c>
      <c r="F151" s="683">
        <f>(I147)</f>
        <v>5376.5556999999999</v>
      </c>
      <c r="G151" s="683"/>
      <c r="H151" s="72">
        <v>1</v>
      </c>
      <c r="I151" s="141">
        <f>F151*H151</f>
        <v>5376.5556999999999</v>
      </c>
    </row>
    <row r="152" spans="1: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5376.5556999999999</v>
      </c>
    </row>
    <row r="154" spans="1: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64518.668400000002</v>
      </c>
    </row>
    <row r="155" spans="1: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140</v>
      </c>
      <c r="B158" s="692"/>
      <c r="C158" s="692"/>
      <c r="D158" s="692"/>
      <c r="E158" s="32"/>
      <c r="F158" s="692" t="s">
        <v>439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4</v>
      </c>
      <c r="B160" s="182">
        <v>1</v>
      </c>
      <c r="C160" s="182">
        <v>44</v>
      </c>
      <c r="D160" s="183">
        <f>A160*B160*C160</f>
        <v>176</v>
      </c>
      <c r="E160" s="184"/>
      <c r="F160" s="203">
        <v>26.833300000000001</v>
      </c>
      <c r="G160" s="34">
        <v>1</v>
      </c>
      <c r="H160" s="34">
        <v>30</v>
      </c>
      <c r="I160" s="97">
        <f>F160*G160*H160</f>
        <v>804.99900000000002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1764</v>
      </c>
      <c r="B163" s="34">
        <v>6</v>
      </c>
      <c r="C163" s="38">
        <f>A163*B163/100</f>
        <v>105.84</v>
      </c>
      <c r="D163" s="41"/>
      <c r="E163" s="32"/>
      <c r="F163" s="38">
        <f>I160</f>
        <v>804.99900000000002</v>
      </c>
      <c r="G163" s="45">
        <v>0.2</v>
      </c>
      <c r="H163" s="38">
        <f>F163*G163</f>
        <v>160.99980000000002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176</v>
      </c>
      <c r="B166" s="50">
        <f>C163</f>
        <v>105.84</v>
      </c>
      <c r="C166" s="51">
        <f>A166-B166</f>
        <v>70.16</v>
      </c>
      <c r="D166" s="52"/>
      <c r="E166" s="32"/>
      <c r="F166" s="38">
        <f>I160</f>
        <v>804.99900000000002</v>
      </c>
      <c r="G166" s="53">
        <f>H163</f>
        <v>160.99980000000002</v>
      </c>
      <c r="H166" s="51">
        <f>F166-G166</f>
        <v>643.99919999999997</v>
      </c>
      <c r="I166" s="54"/>
    </row>
    <row r="167" spans="1:9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>
      <c r="I168" s="159"/>
    </row>
    <row r="169" spans="1:9" ht="14.5" thickBot="1">
      <c r="A169" s="650" t="s">
        <v>96</v>
      </c>
      <c r="B169" s="651"/>
      <c r="C169" s="651"/>
      <c r="D169" s="651"/>
      <c r="E169" s="651"/>
      <c r="F169" s="651"/>
      <c r="G169" s="651"/>
      <c r="H169" s="651"/>
      <c r="I169" s="652"/>
    </row>
    <row r="170" spans="1:9" ht="14.5" thickBot="1">
      <c r="A170" s="57"/>
      <c r="B170" s="740" t="s">
        <v>31</v>
      </c>
      <c r="C170" s="741"/>
      <c r="D170" s="741"/>
      <c r="E170" s="741"/>
      <c r="F170" s="741"/>
      <c r="G170" s="741"/>
      <c r="H170" s="741"/>
      <c r="I170" s="742"/>
    </row>
    <row r="171" spans="1:9" ht="14.5" thickBot="1">
      <c r="A171" s="1"/>
      <c r="B171" s="755" t="s">
        <v>106</v>
      </c>
      <c r="C171" s="751"/>
      <c r="D171" s="751"/>
      <c r="E171" s="751"/>
      <c r="F171" s="751"/>
      <c r="G171" s="751"/>
      <c r="H171" s="752"/>
      <c r="I171" s="58" t="s">
        <v>95</v>
      </c>
    </row>
    <row r="172" spans="1:9">
      <c r="A172" s="59" t="s">
        <v>11</v>
      </c>
      <c r="B172" s="127" t="s">
        <v>403</v>
      </c>
      <c r="C172" s="128"/>
      <c r="D172" s="128"/>
      <c r="E172" s="128"/>
      <c r="F172" s="128"/>
      <c r="G172" s="128"/>
      <c r="H172" s="129"/>
      <c r="I172" s="130">
        <f>I221</f>
        <v>5791.6738999999998</v>
      </c>
    </row>
    <row r="173" spans="1:9">
      <c r="A173" s="125" t="s">
        <v>12</v>
      </c>
      <c r="B173" s="61" t="s">
        <v>97</v>
      </c>
      <c r="C173" s="62"/>
      <c r="D173" s="62"/>
      <c r="E173" s="62"/>
      <c r="F173" s="62"/>
      <c r="G173" s="62"/>
      <c r="H173" s="63"/>
      <c r="I173" s="126"/>
    </row>
    <row r="174" spans="1:9" ht="15" customHeight="1">
      <c r="A174" s="60" t="s">
        <v>13</v>
      </c>
      <c r="B174" s="756" t="s">
        <v>404</v>
      </c>
      <c r="C174" s="757"/>
      <c r="D174" s="757"/>
      <c r="E174" s="757"/>
      <c r="F174" s="757"/>
      <c r="G174" s="757"/>
      <c r="H174" s="63"/>
      <c r="I174" s="122">
        <f>I152</f>
        <v>0</v>
      </c>
    </row>
    <row r="175" spans="1:9" ht="15.75" customHeight="1" thickBot="1">
      <c r="A175" s="64"/>
      <c r="B175" s="55"/>
      <c r="C175" s="56"/>
      <c r="D175" s="56"/>
      <c r="E175" s="56"/>
      <c r="F175" s="56"/>
      <c r="G175" s="56"/>
      <c r="H175" s="65"/>
      <c r="I175" s="131">
        <f>TRUNC(((I172+I174)*12),4)</f>
        <v>69500.086800000005</v>
      </c>
    </row>
    <row r="176" spans="1:9">
      <c r="A176" s="149"/>
      <c r="B176" s="150"/>
      <c r="C176" s="150"/>
      <c r="D176" s="150"/>
      <c r="E176" s="150"/>
      <c r="F176" s="150"/>
      <c r="G176" s="150"/>
      <c r="H176" s="150"/>
      <c r="I176" s="150"/>
    </row>
    <row r="177" spans="1:9">
      <c r="A177" s="650" t="s">
        <v>108</v>
      </c>
      <c r="B177" s="651"/>
      <c r="C177" s="651"/>
      <c r="D177" s="651"/>
      <c r="E177" s="651"/>
      <c r="F177" s="651"/>
      <c r="G177" s="651"/>
      <c r="H177" s="651"/>
      <c r="I177" s="652"/>
    </row>
    <row r="178" spans="1:9">
      <c r="A178" s="118"/>
      <c r="B178" s="118"/>
      <c r="C178" s="118"/>
      <c r="D178" s="118"/>
      <c r="E178" s="118"/>
      <c r="F178" s="118"/>
      <c r="G178" s="118"/>
      <c r="H178" s="118"/>
      <c r="I178" s="118"/>
    </row>
    <row r="180" spans="1:9" s="84" customFormat="1">
      <c r="A180" s="67" t="s">
        <v>109</v>
      </c>
      <c r="B180" s="2"/>
      <c r="C180" s="2"/>
      <c r="D180" s="2"/>
      <c r="E180" s="2"/>
      <c r="F180" s="2"/>
      <c r="G180" s="2"/>
      <c r="H180" s="2"/>
      <c r="I180" s="2"/>
    </row>
    <row r="181" spans="1:9" s="84" customFormat="1">
      <c r="A181" s="669"/>
      <c r="B181" s="669"/>
      <c r="C181" s="669"/>
      <c r="D181" s="669"/>
      <c r="E181" s="669"/>
      <c r="F181" s="669"/>
      <c r="G181" s="669"/>
      <c r="H181" s="669"/>
      <c r="I181" s="669"/>
    </row>
    <row r="182" spans="1:9" s="84" customFormat="1">
      <c r="A182" s="669" t="s">
        <v>402</v>
      </c>
      <c r="B182" s="669"/>
      <c r="C182" s="669"/>
      <c r="D182" s="669"/>
      <c r="E182" s="669"/>
      <c r="F182" s="669"/>
      <c r="G182" s="669"/>
      <c r="H182" s="669"/>
      <c r="I182" s="669"/>
    </row>
    <row r="183" spans="1:9" s="84" customFormat="1">
      <c r="A183" s="743" t="s">
        <v>110</v>
      </c>
      <c r="B183" s="744"/>
      <c r="C183" s="743" t="s">
        <v>111</v>
      </c>
      <c r="D183" s="745"/>
      <c r="E183" s="744"/>
      <c r="F183" s="746" t="s">
        <v>112</v>
      </c>
      <c r="G183" s="747"/>
      <c r="H183" s="743" t="s">
        <v>113</v>
      </c>
      <c r="I183" s="744"/>
    </row>
    <row r="184" spans="1:9" s="84" customFormat="1">
      <c r="A184" s="748" t="s">
        <v>114</v>
      </c>
      <c r="B184" s="749"/>
      <c r="C184" s="750">
        <f>1/800</f>
        <v>1.25E-3</v>
      </c>
      <c r="D184" s="751"/>
      <c r="E184" s="752"/>
      <c r="F184" s="753">
        <f>C151</f>
        <v>5376.5556999999999</v>
      </c>
      <c r="G184" s="752"/>
      <c r="H184" s="753">
        <f>TRUNC((C184*F184),2)</f>
        <v>6.72</v>
      </c>
      <c r="I184" s="754"/>
    </row>
    <row r="185" spans="1:9" s="84" customFormat="1">
      <c r="A185" s="760" t="s">
        <v>511</v>
      </c>
      <c r="B185" s="761"/>
      <c r="C185" s="767">
        <f>1/(30*800)</f>
        <v>4.1666666666666665E-5</v>
      </c>
      <c r="D185" s="768"/>
      <c r="E185" s="769"/>
      <c r="F185" s="764">
        <f>'Supervisor '!I153</f>
        <v>7536.3797000000004</v>
      </c>
      <c r="G185" s="765"/>
      <c r="H185" s="764">
        <f>TRUNC((C185*F185),2)</f>
        <v>0.31</v>
      </c>
      <c r="I185" s="766"/>
    </row>
    <row r="186" spans="1:9" s="84" customFormat="1">
      <c r="A186" s="760" t="s">
        <v>24</v>
      </c>
      <c r="B186" s="762"/>
      <c r="C186" s="376"/>
      <c r="D186" s="373"/>
      <c r="E186" s="373"/>
      <c r="F186" s="377"/>
      <c r="G186" s="377"/>
      <c r="H186" s="764">
        <f>TRUNC((H184+H185),2)</f>
        <v>7.03</v>
      </c>
      <c r="I186" s="766"/>
    </row>
    <row r="187" spans="1:9" s="84" customFormat="1">
      <c r="A187" s="2"/>
      <c r="B187" s="2"/>
      <c r="C187" s="2"/>
      <c r="D187" s="2"/>
      <c r="E187" s="2"/>
      <c r="F187" s="2"/>
      <c r="G187" s="2"/>
      <c r="H187" s="2"/>
      <c r="I187" s="2"/>
    </row>
    <row r="188" spans="1:9" s="84" customFormat="1">
      <c r="A188" s="668" t="s">
        <v>498</v>
      </c>
      <c r="B188" s="669"/>
      <c r="C188" s="669"/>
      <c r="D188" s="669"/>
      <c r="E188" s="669"/>
      <c r="F188" s="669"/>
      <c r="G188" s="669"/>
      <c r="H188" s="669"/>
      <c r="I188" s="669"/>
    </row>
    <row r="189" spans="1:9" s="84" customFormat="1">
      <c r="A189" s="743" t="s">
        <v>110</v>
      </c>
      <c r="B189" s="744"/>
      <c r="C189" s="743" t="s">
        <v>111</v>
      </c>
      <c r="D189" s="745"/>
      <c r="E189" s="744"/>
      <c r="F189" s="746" t="s">
        <v>112</v>
      </c>
      <c r="G189" s="747"/>
      <c r="H189" s="743" t="s">
        <v>113</v>
      </c>
      <c r="I189" s="744"/>
    </row>
    <row r="190" spans="1:9" s="84" customFormat="1">
      <c r="A190" s="748" t="s">
        <v>114</v>
      </c>
      <c r="B190" s="749"/>
      <c r="C190" s="750">
        <f>1/200</f>
        <v>5.0000000000000001E-3</v>
      </c>
      <c r="D190" s="751"/>
      <c r="E190" s="752"/>
      <c r="F190" s="753">
        <f>C151</f>
        <v>5376.5556999999999</v>
      </c>
      <c r="G190" s="752"/>
      <c r="H190" s="753">
        <f>TRUNC((C190*F190),2)</f>
        <v>26.88</v>
      </c>
      <c r="I190" s="754"/>
    </row>
    <row r="191" spans="1:9" s="84" customFormat="1">
      <c r="A191" s="760" t="s">
        <v>511</v>
      </c>
      <c r="B191" s="761"/>
      <c r="C191" s="767">
        <f>1/(30*200)</f>
        <v>1.6666666666666666E-4</v>
      </c>
      <c r="D191" s="768"/>
      <c r="E191" s="769"/>
      <c r="F191" s="764">
        <f>'Supervisor '!I153</f>
        <v>7536.3797000000004</v>
      </c>
      <c r="G191" s="765"/>
      <c r="H191" s="764">
        <f>TRUNC((C191*F191),2)</f>
        <v>1.25</v>
      </c>
      <c r="I191" s="766"/>
    </row>
    <row r="192" spans="1:9" s="84" customFormat="1">
      <c r="A192" s="760" t="s">
        <v>24</v>
      </c>
      <c r="B192" s="762"/>
      <c r="C192" s="376"/>
      <c r="D192" s="373"/>
      <c r="E192" s="373"/>
      <c r="F192" s="377"/>
      <c r="G192" s="377"/>
      <c r="H192" s="764">
        <f>TRUNC((H190+H191),2)</f>
        <v>28.13</v>
      </c>
      <c r="I192" s="766"/>
    </row>
    <row r="193" spans="1:9" s="84" customFormat="1">
      <c r="A193" s="2"/>
      <c r="B193" s="2"/>
      <c r="C193" s="2"/>
      <c r="D193" s="2"/>
      <c r="E193" s="2"/>
      <c r="F193" s="2"/>
      <c r="G193" s="2"/>
      <c r="H193" s="2"/>
      <c r="I193" s="2"/>
    </row>
    <row r="194" spans="1:9" s="84" customFormat="1">
      <c r="A194" s="669" t="s">
        <v>401</v>
      </c>
      <c r="B194" s="669"/>
      <c r="C194" s="669"/>
      <c r="D194" s="669"/>
      <c r="E194" s="669"/>
      <c r="F194" s="669"/>
      <c r="G194" s="669"/>
      <c r="H194" s="669"/>
      <c r="I194" s="669"/>
    </row>
    <row r="195" spans="1:9" s="84" customFormat="1">
      <c r="A195" s="743" t="s">
        <v>110</v>
      </c>
      <c r="B195" s="744"/>
      <c r="C195" s="743" t="s">
        <v>111</v>
      </c>
      <c r="D195" s="745"/>
      <c r="E195" s="744"/>
      <c r="F195" s="746" t="s">
        <v>112</v>
      </c>
      <c r="G195" s="747"/>
      <c r="H195" s="743" t="s">
        <v>113</v>
      </c>
      <c r="I195" s="744"/>
    </row>
    <row r="196" spans="1:9" s="84" customFormat="1">
      <c r="A196" s="748" t="s">
        <v>114</v>
      </c>
      <c r="B196" s="749"/>
      <c r="C196" s="750">
        <f>1/1800</f>
        <v>5.5555555555555556E-4</v>
      </c>
      <c r="D196" s="751"/>
      <c r="E196" s="752"/>
      <c r="F196" s="753">
        <f>C151</f>
        <v>5376.5556999999999</v>
      </c>
      <c r="G196" s="752"/>
      <c r="H196" s="753">
        <f>TRUNC((C196*F196),2)</f>
        <v>2.98</v>
      </c>
      <c r="I196" s="754"/>
    </row>
    <row r="197" spans="1:9" s="84" customFormat="1">
      <c r="A197" s="760" t="s">
        <v>511</v>
      </c>
      <c r="B197" s="761"/>
      <c r="C197" s="767">
        <f>1/(30*1800)</f>
        <v>1.8518518518518518E-5</v>
      </c>
      <c r="D197" s="768"/>
      <c r="E197" s="769"/>
      <c r="F197" s="764">
        <f>'Supervisor '!I153</f>
        <v>7536.3797000000004</v>
      </c>
      <c r="G197" s="765"/>
      <c r="H197" s="764">
        <f>TRUNC((C197*F197),2)</f>
        <v>0.13</v>
      </c>
      <c r="I197" s="766"/>
    </row>
    <row r="198" spans="1:9" s="84" customFormat="1">
      <c r="A198" s="760" t="s">
        <v>24</v>
      </c>
      <c r="B198" s="762"/>
      <c r="C198" s="376"/>
      <c r="D198" s="373"/>
      <c r="E198" s="373"/>
      <c r="F198" s="377"/>
      <c r="G198" s="377"/>
      <c r="H198" s="764">
        <f>TRUNC((H196+H197),2)</f>
        <v>3.11</v>
      </c>
      <c r="I198" s="766"/>
    </row>
    <row r="199" spans="1:9" s="84" customFormat="1">
      <c r="A199" s="2"/>
      <c r="B199" s="2"/>
      <c r="C199" s="2"/>
      <c r="D199" s="2"/>
      <c r="E199" s="2"/>
      <c r="F199" s="2"/>
      <c r="G199" s="2"/>
      <c r="H199" s="2"/>
      <c r="I199" s="2"/>
    </row>
    <row r="200" spans="1:9" s="84" customFormat="1">
      <c r="A200" s="668" t="s">
        <v>500</v>
      </c>
      <c r="B200" s="669"/>
      <c r="C200" s="669"/>
      <c r="D200" s="669"/>
      <c r="E200" s="669"/>
      <c r="F200" s="669"/>
      <c r="G200" s="669"/>
      <c r="H200" s="669"/>
      <c r="I200" s="669"/>
    </row>
    <row r="201" spans="1:9" s="84" customFormat="1" ht="70">
      <c r="A201" s="748" t="s">
        <v>110</v>
      </c>
      <c r="B201" s="749"/>
      <c r="C201" s="68" t="s">
        <v>119</v>
      </c>
      <c r="D201" s="68" t="s">
        <v>120</v>
      </c>
      <c r="E201" s="68" t="s">
        <v>121</v>
      </c>
      <c r="F201" s="68" t="s">
        <v>122</v>
      </c>
      <c r="G201" s="68" t="s">
        <v>123</v>
      </c>
      <c r="H201" s="68" t="s">
        <v>124</v>
      </c>
      <c r="I201" s="119"/>
    </row>
    <row r="202" spans="1:9" s="84" customFormat="1">
      <c r="A202" s="771" t="s">
        <v>114</v>
      </c>
      <c r="B202" s="771"/>
      <c r="C202" s="66">
        <f>1/300</f>
        <v>3.3333333333333335E-3</v>
      </c>
      <c r="D202" s="30">
        <v>16</v>
      </c>
      <c r="E202" s="66">
        <f>1/188.76</f>
        <v>5.2977325704598437E-3</v>
      </c>
      <c r="F202" s="147">
        <f>C202*D202*E202</f>
        <v>2.8254573709119167E-4</v>
      </c>
      <c r="G202" s="29">
        <f>C151</f>
        <v>5376.5556999999999</v>
      </c>
      <c r="H202" s="29">
        <f>TRUNC((F202*G202),2)</f>
        <v>1.51</v>
      </c>
      <c r="I202" s="2"/>
    </row>
    <row r="203" spans="1:9" s="84" customFormat="1">
      <c r="A203" s="760" t="s">
        <v>511</v>
      </c>
      <c r="B203" s="761"/>
      <c r="C203" s="372">
        <f>1/(30*300)</f>
        <v>1.1111111111111112E-4</v>
      </c>
      <c r="D203" s="373">
        <v>16</v>
      </c>
      <c r="E203" s="66">
        <f>1/188.76</f>
        <v>5.2977325704598437E-3</v>
      </c>
      <c r="F203" s="147">
        <f>C203*D203*E203</f>
        <v>9.418191236373056E-6</v>
      </c>
      <c r="G203" s="29">
        <f>'Supervisor '!I153</f>
        <v>7536.3797000000004</v>
      </c>
      <c r="H203" s="29">
        <f>TRUNC((F203*G203),2)</f>
        <v>7.0000000000000007E-2</v>
      </c>
      <c r="I203" s="368"/>
    </row>
    <row r="204" spans="1:9" s="84" customFormat="1">
      <c r="A204" s="760" t="s">
        <v>24</v>
      </c>
      <c r="B204" s="762"/>
      <c r="C204" s="379"/>
      <c r="D204" s="373"/>
      <c r="E204" s="373"/>
      <c r="F204" s="377"/>
      <c r="G204" s="377"/>
      <c r="H204" s="378">
        <f>TRUNC((H202+H203),2)</f>
        <v>1.58</v>
      </c>
      <c r="I204" s="159"/>
    </row>
    <row r="205" spans="1:9" s="84" customFormat="1">
      <c r="A205" s="143"/>
      <c r="B205" s="143"/>
      <c r="C205" s="143"/>
      <c r="D205" s="143"/>
      <c r="E205" s="143"/>
      <c r="F205" s="143"/>
      <c r="G205" s="143"/>
      <c r="H205" s="2"/>
      <c r="I205" s="2"/>
    </row>
    <row r="206" spans="1:9" s="84" customFormat="1">
      <c r="A206" s="67" t="s">
        <v>592</v>
      </c>
      <c r="B206" s="2"/>
      <c r="C206" s="2"/>
      <c r="D206" s="2"/>
      <c r="E206" s="2"/>
      <c r="F206" s="2"/>
      <c r="G206" s="2"/>
      <c r="H206" s="2"/>
      <c r="I206" s="2"/>
    </row>
    <row r="207" spans="1:9" s="84" customFormat="1" ht="70">
      <c r="A207" s="748" t="s">
        <v>110</v>
      </c>
      <c r="B207" s="749"/>
      <c r="C207" s="68" t="s">
        <v>119</v>
      </c>
      <c r="D207" s="68" t="s">
        <v>120</v>
      </c>
      <c r="E207" s="68" t="s">
        <v>121</v>
      </c>
      <c r="F207" s="68" t="s">
        <v>122</v>
      </c>
      <c r="G207" s="68" t="s">
        <v>123</v>
      </c>
      <c r="H207" s="68" t="s">
        <v>124</v>
      </c>
      <c r="I207" s="2"/>
    </row>
    <row r="208" spans="1:9" s="84" customFormat="1">
      <c r="A208" s="771" t="s">
        <v>114</v>
      </c>
      <c r="B208" s="771"/>
      <c r="C208" s="66">
        <f>1/130</f>
        <v>7.6923076923076927E-3</v>
      </c>
      <c r="D208" s="30">
        <v>8</v>
      </c>
      <c r="E208" s="66">
        <f>1/188.76</f>
        <v>5.2977325704598437E-3</v>
      </c>
      <c r="F208" s="30">
        <f>C208*D208*E208</f>
        <v>3.2601431202829807E-4</v>
      </c>
      <c r="G208" s="29">
        <f>C151</f>
        <v>5376.5556999999999</v>
      </c>
      <c r="H208" s="371">
        <f>TRUNC((F208*G208),2)</f>
        <v>1.75</v>
      </c>
      <c r="I208" s="2"/>
    </row>
    <row r="209" spans="1:9" s="84" customFormat="1">
      <c r="A209" s="760" t="s">
        <v>511</v>
      </c>
      <c r="B209" s="761"/>
      <c r="C209" s="372">
        <f>1/(4*300)</f>
        <v>8.3333333333333339E-4</v>
      </c>
      <c r="D209" s="373">
        <v>8</v>
      </c>
      <c r="E209" s="66">
        <f>1/188.76</f>
        <v>5.2977325704598437E-3</v>
      </c>
      <c r="F209" s="147">
        <f>C209*D209*E209</f>
        <v>3.5318217136398959E-5</v>
      </c>
      <c r="G209" s="374">
        <f>'Supervisor '!I153</f>
        <v>7536.3797000000004</v>
      </c>
      <c r="H209" s="375">
        <f>TRUNC((F209*G209),4)</f>
        <v>0.2661</v>
      </c>
      <c r="I209" s="2"/>
    </row>
    <row r="210" spans="1:9" s="84" customFormat="1">
      <c r="A210" s="760" t="s">
        <v>24</v>
      </c>
      <c r="B210" s="761"/>
      <c r="C210" s="376"/>
      <c r="D210" s="373"/>
      <c r="E210" s="373"/>
      <c r="F210" s="377"/>
      <c r="G210" s="377"/>
      <c r="H210" s="378">
        <f>TRUNC((H208+H209),4)</f>
        <v>2.0160999999999998</v>
      </c>
      <c r="I210" s="2"/>
    </row>
    <row r="211" spans="1:9" s="84" customFormat="1">
      <c r="A211" s="2"/>
      <c r="B211" s="2"/>
      <c r="C211" s="2"/>
      <c r="D211" s="2"/>
      <c r="E211" s="2"/>
      <c r="F211" s="2"/>
      <c r="G211" s="2"/>
      <c r="H211" s="2"/>
      <c r="I211" s="2"/>
    </row>
    <row r="212" spans="1:9" s="84" customFormat="1">
      <c r="A212" s="772" t="s">
        <v>115</v>
      </c>
      <c r="B212" s="773"/>
      <c r="C212" s="773"/>
      <c r="D212" s="773"/>
      <c r="E212" s="773"/>
      <c r="F212" s="773"/>
      <c r="G212" s="773"/>
      <c r="H212" s="773"/>
      <c r="I212" s="774"/>
    </row>
    <row r="213" spans="1:9" s="84" customFormat="1">
      <c r="A213" s="743" t="s">
        <v>117</v>
      </c>
      <c r="B213" s="745"/>
      <c r="C213" s="745"/>
      <c r="D213" s="744"/>
      <c r="E213" s="746" t="s">
        <v>116</v>
      </c>
      <c r="F213" s="770"/>
      <c r="G213" s="747"/>
      <c r="H213" s="9" t="s">
        <v>118</v>
      </c>
      <c r="I213" s="9" t="s">
        <v>107</v>
      </c>
    </row>
    <row r="214" spans="1:9" s="84" customFormat="1">
      <c r="A214" s="671" t="s">
        <v>504</v>
      </c>
      <c r="B214" s="672"/>
      <c r="C214" s="672"/>
      <c r="D214" s="673"/>
      <c r="E214" s="753">
        <f>H186</f>
        <v>7.03</v>
      </c>
      <c r="F214" s="751"/>
      <c r="G214" s="752"/>
      <c r="H214" s="22">
        <f>'Limpeza - Imóveis'!U13-'Limpeza - Imóveis'!D13</f>
        <v>394.71</v>
      </c>
      <c r="I214" s="29">
        <f>E214*H214</f>
        <v>2774.8112999999998</v>
      </c>
    </row>
    <row r="215" spans="1:9" s="84" customFormat="1">
      <c r="A215" s="671" t="s">
        <v>505</v>
      </c>
      <c r="B215" s="672"/>
      <c r="C215" s="672"/>
      <c r="D215" s="673"/>
      <c r="E215" s="753">
        <f>H192</f>
        <v>28.13</v>
      </c>
      <c r="F215" s="763"/>
      <c r="G215" s="754"/>
      <c r="H215" s="22">
        <f>'Limpeza - Imóveis'!D13</f>
        <v>18.25</v>
      </c>
      <c r="I215" s="29">
        <f>E215*H215</f>
        <v>513.37249999999995</v>
      </c>
    </row>
    <row r="216" spans="1:9" s="84" customFormat="1">
      <c r="A216" s="671" t="s">
        <v>506</v>
      </c>
      <c r="B216" s="672"/>
      <c r="C216" s="672"/>
      <c r="D216" s="673"/>
      <c r="E216" s="753">
        <f>H198</f>
        <v>3.11</v>
      </c>
      <c r="F216" s="751"/>
      <c r="G216" s="752"/>
      <c r="H216" s="22">
        <f>'Limpeza - Imóveis'!V13+'Limpeza - Imóveis'!W13+'Limpeza - Imóveis'!X13</f>
        <v>470</v>
      </c>
      <c r="I216" s="29">
        <f t="shared" ref="I216:I218" si="0">E216*H216</f>
        <v>1461.7</v>
      </c>
    </row>
    <row r="217" spans="1:9" s="84" customFormat="1">
      <c r="A217" s="671" t="s">
        <v>589</v>
      </c>
      <c r="B217" s="672"/>
      <c r="C217" s="672"/>
      <c r="D217" s="673"/>
      <c r="E217" s="753">
        <f>H204</f>
        <v>1.58</v>
      </c>
      <c r="F217" s="751"/>
      <c r="G217" s="752"/>
      <c r="H217" s="22">
        <f>'Limpeza - Imóveis'!AA13+'Limpeza - Imóveis'!AB13</f>
        <v>289.7</v>
      </c>
      <c r="I217" s="29">
        <f t="shared" si="0"/>
        <v>457.726</v>
      </c>
    </row>
    <row r="218" spans="1:9" s="84" customFormat="1">
      <c r="A218" s="671" t="s">
        <v>590</v>
      </c>
      <c r="B218" s="672"/>
      <c r="C218" s="672"/>
      <c r="D218" s="673"/>
      <c r="E218" s="753">
        <f>H210</f>
        <v>2.0160999999999998</v>
      </c>
      <c r="F218" s="763"/>
      <c r="G218" s="754"/>
      <c r="H218" s="22">
        <f>'Limpeza - Imóveis'!AA13+'Limpeza - Imóveis'!AB13</f>
        <v>289.7</v>
      </c>
      <c r="I218" s="29">
        <f t="shared" si="0"/>
        <v>584.06416999999988</v>
      </c>
    </row>
    <row r="219" spans="1:9" s="84" customFormat="1">
      <c r="A219" s="671" t="s">
        <v>593</v>
      </c>
      <c r="B219" s="672"/>
      <c r="C219" s="672"/>
      <c r="D219" s="673"/>
      <c r="E219" s="753"/>
      <c r="F219" s="763"/>
      <c r="G219" s="754"/>
      <c r="H219" s="370"/>
      <c r="I219" s="29"/>
    </row>
    <row r="220" spans="1:9" s="84" customFormat="1">
      <c r="A220" s="671" t="s">
        <v>502</v>
      </c>
      <c r="B220" s="672"/>
      <c r="C220" s="672"/>
      <c r="D220" s="673"/>
      <c r="E220" s="753">
        <f>H212</f>
        <v>0</v>
      </c>
      <c r="F220" s="763"/>
      <c r="G220" s="754"/>
      <c r="H220" s="22"/>
      <c r="I220" s="29">
        <f>E220*H220</f>
        <v>0</v>
      </c>
    </row>
    <row r="221" spans="1:9" s="84" customFormat="1">
      <c r="A221" s="684" t="s">
        <v>24</v>
      </c>
      <c r="B221" s="685"/>
      <c r="C221" s="685"/>
      <c r="D221" s="685"/>
      <c r="E221" s="685"/>
      <c r="F221" s="685"/>
      <c r="G221" s="686"/>
      <c r="H221" s="121"/>
      <c r="I221" s="10">
        <f>TRUNC(SUM(I214:I220),4)</f>
        <v>5791.6738999999998</v>
      </c>
    </row>
    <row r="222" spans="1:9" s="84" customFormat="1"/>
  </sheetData>
  <mergeCells count="229"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20:B20"/>
    <mergeCell ref="A22:I22"/>
    <mergeCell ref="B23:H23"/>
    <mergeCell ref="B24:H24"/>
    <mergeCell ref="B25:H25"/>
    <mergeCell ref="B26:H26"/>
    <mergeCell ref="A17:B17"/>
    <mergeCell ref="C17:D17"/>
    <mergeCell ref="E17:I17"/>
    <mergeCell ref="A18:B18"/>
    <mergeCell ref="C18:D18"/>
    <mergeCell ref="E18:I18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102:I102"/>
    <mergeCell ref="A103:G103"/>
    <mergeCell ref="B104:G104"/>
    <mergeCell ref="B105:G105"/>
    <mergeCell ref="A106:G106"/>
    <mergeCell ref="A108:I108"/>
    <mergeCell ref="B96:G96"/>
    <mergeCell ref="B97:G97"/>
    <mergeCell ref="B98:G98"/>
    <mergeCell ref="B99:G99"/>
    <mergeCell ref="B100:G100"/>
    <mergeCell ref="A101:G101"/>
    <mergeCell ref="B115:G115"/>
    <mergeCell ref="B116:G116"/>
    <mergeCell ref="B117:G117"/>
    <mergeCell ref="B118:G118"/>
    <mergeCell ref="B119:G119"/>
    <mergeCell ref="A120:G120"/>
    <mergeCell ref="B109:H109"/>
    <mergeCell ref="B110:H110"/>
    <mergeCell ref="B111:H111"/>
    <mergeCell ref="A112:H112"/>
    <mergeCell ref="A113:I113"/>
    <mergeCell ref="A114:I114"/>
    <mergeCell ref="B128:G128"/>
    <mergeCell ref="B129:G129"/>
    <mergeCell ref="B130:G130"/>
    <mergeCell ref="B131:G131"/>
    <mergeCell ref="B132:G132"/>
    <mergeCell ref="B133:G133"/>
    <mergeCell ref="A122:I122"/>
    <mergeCell ref="B123:G123"/>
    <mergeCell ref="B124:G124"/>
    <mergeCell ref="B125:G125"/>
    <mergeCell ref="B126:G126"/>
    <mergeCell ref="B127:G127"/>
    <mergeCell ref="B142:H142"/>
    <mergeCell ref="B143:H143"/>
    <mergeCell ref="B144:H144"/>
    <mergeCell ref="B145:H145"/>
    <mergeCell ref="B146:H146"/>
    <mergeCell ref="A147:H147"/>
    <mergeCell ref="B134:G134"/>
    <mergeCell ref="B135:G135"/>
    <mergeCell ref="A136:G136"/>
    <mergeCell ref="A138:I138"/>
    <mergeCell ref="B140:H140"/>
    <mergeCell ref="B141:H14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A181:I181"/>
    <mergeCell ref="B171:H171"/>
    <mergeCell ref="B174:G174"/>
    <mergeCell ref="A177:I177"/>
    <mergeCell ref="A157:D157"/>
    <mergeCell ref="F157:I157"/>
    <mergeCell ref="A158:D158"/>
    <mergeCell ref="F158:I158"/>
    <mergeCell ref="A169:I169"/>
    <mergeCell ref="B170:I170"/>
    <mergeCell ref="A185:B185"/>
    <mergeCell ref="C185:E185"/>
    <mergeCell ref="F185:G185"/>
    <mergeCell ref="H185:I185"/>
    <mergeCell ref="A186:B186"/>
    <mergeCell ref="H186:I186"/>
    <mergeCell ref="A182:I182"/>
    <mergeCell ref="A183:B183"/>
    <mergeCell ref="C183:E183"/>
    <mergeCell ref="F183:G183"/>
    <mergeCell ref="H183:I183"/>
    <mergeCell ref="A184:B184"/>
    <mergeCell ref="C184:E184"/>
    <mergeCell ref="F184:G184"/>
    <mergeCell ref="H184:I184"/>
    <mergeCell ref="A191:B191"/>
    <mergeCell ref="C191:E191"/>
    <mergeCell ref="F191:G191"/>
    <mergeCell ref="H191:I191"/>
    <mergeCell ref="A192:B192"/>
    <mergeCell ref="H192:I192"/>
    <mergeCell ref="A188:I188"/>
    <mergeCell ref="A189:B189"/>
    <mergeCell ref="C189:E189"/>
    <mergeCell ref="F189:G189"/>
    <mergeCell ref="H189:I189"/>
    <mergeCell ref="A190:B190"/>
    <mergeCell ref="C190:E190"/>
    <mergeCell ref="F190:G190"/>
    <mergeCell ref="H190:I190"/>
    <mergeCell ref="A194:I194"/>
    <mergeCell ref="A195:B195"/>
    <mergeCell ref="C195:E195"/>
    <mergeCell ref="F195:G195"/>
    <mergeCell ref="H195:I195"/>
    <mergeCell ref="A196:B196"/>
    <mergeCell ref="C196:E196"/>
    <mergeCell ref="F196:G196"/>
    <mergeCell ref="H196:I196"/>
    <mergeCell ref="A200:I200"/>
    <mergeCell ref="A201:B201"/>
    <mergeCell ref="A202:B202"/>
    <mergeCell ref="A203:B203"/>
    <mergeCell ref="A204:B204"/>
    <mergeCell ref="A207:B207"/>
    <mergeCell ref="A197:B197"/>
    <mergeCell ref="C197:E197"/>
    <mergeCell ref="F197:G197"/>
    <mergeCell ref="H197:I197"/>
    <mergeCell ref="A198:B198"/>
    <mergeCell ref="H198:I198"/>
    <mergeCell ref="A214:D214"/>
    <mergeCell ref="E214:G214"/>
    <mergeCell ref="A215:D215"/>
    <mergeCell ref="E215:G215"/>
    <mergeCell ref="A216:D216"/>
    <mergeCell ref="E216:G216"/>
    <mergeCell ref="A208:B208"/>
    <mergeCell ref="A209:B209"/>
    <mergeCell ref="A210:B210"/>
    <mergeCell ref="A212:I212"/>
    <mergeCell ref="A213:D213"/>
    <mergeCell ref="E213:G213"/>
    <mergeCell ref="A220:D220"/>
    <mergeCell ref="E220:G220"/>
    <mergeCell ref="A221:G221"/>
    <mergeCell ref="A217:D217"/>
    <mergeCell ref="E217:G217"/>
    <mergeCell ref="A218:D218"/>
    <mergeCell ref="E218:G218"/>
    <mergeCell ref="A219:D219"/>
    <mergeCell ref="E219:G219"/>
  </mergeCells>
  <pageMargins left="0.59055118110236227" right="0.59055118110236227" top="0.59055118110236227" bottom="0.59055118110236227" header="0.15748031496062992" footer="0.15748031496062992"/>
  <pageSetup paperSize="9" scale="57" firstPageNumber="0" orientation="portrait" verticalDpi="300" r:id="rId1"/>
  <headerFooter alignWithMargins="0"/>
  <rowBreaks count="2" manualBreakCount="2">
    <brk id="91" max="9" man="1"/>
    <brk id="167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ilha20">
    <tabColor rgb="FF92D050"/>
  </sheetPr>
  <dimension ref="A1:I169"/>
  <sheetViews>
    <sheetView view="pageBreakPreview" zoomScaleNormal="96" zoomScaleSheetLayoutView="100" workbookViewId="0">
      <selection activeCell="L28" sqref="L28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438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</row>
    <row r="24" spans="1: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</row>
    <row r="25" spans="1:9">
      <c r="A25" s="30">
        <v>0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</row>
    <row r="31" spans="1: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</row>
    <row r="32" spans="1:9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127.13454545454546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549.70079999999996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549.70079999999996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799.86059999999998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109.39684999999999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21.879369999999998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0.46698977258079993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0.24067306999999999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1.8736530195803904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133.85749999999999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133.85749999999999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133.85749999999999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82.98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118.33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13.242707224958949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61.12018719211823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101.8669786535304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377.53980000000001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799.86059999999998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133.85749999999999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1659.7997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377.53980000000001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2037.3395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 s="326" customFormat="1">
      <c r="A149" s="684" t="s">
        <v>88</v>
      </c>
      <c r="B149" s="685"/>
      <c r="C149" s="685"/>
      <c r="D149" s="685"/>
      <c r="E149" s="685"/>
      <c r="F149" s="685"/>
      <c r="G149" s="685"/>
      <c r="H149" s="685"/>
      <c r="I149" s="686"/>
    </row>
    <row r="150" spans="1:9" s="326" customFormat="1" ht="60" customHeight="1">
      <c r="A150" s="796" t="s">
        <v>90</v>
      </c>
      <c r="B150" s="796"/>
      <c r="C150" s="796" t="s">
        <v>91</v>
      </c>
      <c r="D150" s="796"/>
      <c r="E150" s="68" t="s">
        <v>293</v>
      </c>
      <c r="F150" s="796" t="s">
        <v>92</v>
      </c>
      <c r="G150" s="796"/>
      <c r="H150" s="68" t="s">
        <v>93</v>
      </c>
      <c r="I150" s="68" t="s">
        <v>94</v>
      </c>
    </row>
    <row r="151" spans="1:9" s="326" customFormat="1" ht="27.65" customHeight="1">
      <c r="A151" s="788" t="str">
        <f>I23</f>
        <v>Limpeza</v>
      </c>
      <c r="B151" s="789"/>
      <c r="C151" s="793">
        <f>(I147-I117)</f>
        <v>2037.3395</v>
      </c>
      <c r="D151" s="793"/>
      <c r="E151" s="332">
        <v>1</v>
      </c>
      <c r="F151" s="793">
        <f>(I147-I117)</f>
        <v>2037.3395</v>
      </c>
      <c r="G151" s="793"/>
      <c r="H151" s="332">
        <v>1</v>
      </c>
      <c r="I151" s="333">
        <f>F151*H151</f>
        <v>2037.3395</v>
      </c>
    </row>
    <row r="152" spans="1:9" s="326" customFormat="1">
      <c r="A152" s="788" t="s">
        <v>298</v>
      </c>
      <c r="B152" s="789"/>
      <c r="C152" s="790">
        <v>0</v>
      </c>
      <c r="D152" s="791"/>
      <c r="E152" s="334">
        <v>0</v>
      </c>
      <c r="F152" s="792">
        <v>0</v>
      </c>
      <c r="G152" s="792"/>
      <c r="H152" s="334">
        <v>0</v>
      </c>
      <c r="I152" s="29">
        <v>0</v>
      </c>
    </row>
    <row r="153" spans="1:9" s="326" customFormat="1">
      <c r="A153" s="335" t="s">
        <v>306</v>
      </c>
      <c r="B153" s="336"/>
      <c r="C153" s="793"/>
      <c r="D153" s="794"/>
      <c r="E153" s="337"/>
      <c r="F153" s="795"/>
      <c r="G153" s="795"/>
      <c r="H153" s="338"/>
      <c r="I153" s="339">
        <f>TRUNC(SUM(I152,I151),4)</f>
        <v>2037.3395</v>
      </c>
    </row>
    <row r="154" spans="1:9" s="326" customFormat="1">
      <c r="A154" s="340" t="s">
        <v>307</v>
      </c>
      <c r="B154" s="217"/>
      <c r="C154" s="215"/>
      <c r="D154" s="217"/>
      <c r="E154" s="217"/>
      <c r="F154" s="217"/>
      <c r="G154" s="217"/>
      <c r="H154" s="216"/>
      <c r="I154" s="232">
        <f>TRUNC((I153*12),4)</f>
        <v>24448.074000000001</v>
      </c>
    </row>
    <row r="155" spans="1:9" s="326" customFormat="1">
      <c r="A155" s="95"/>
      <c r="B155" s="95"/>
      <c r="C155" s="95"/>
      <c r="D155" s="95"/>
      <c r="E155" s="95"/>
      <c r="F155" s="95"/>
      <c r="G155" s="95"/>
      <c r="H155" s="95"/>
      <c r="I155" s="341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782" t="s">
        <v>131</v>
      </c>
      <c r="B157" s="783"/>
      <c r="C157" s="783"/>
      <c r="D157" s="783"/>
      <c r="E157" s="312"/>
      <c r="F157" s="784" t="s">
        <v>132</v>
      </c>
      <c r="G157" s="784"/>
      <c r="H157" s="784"/>
      <c r="I157" s="785"/>
    </row>
    <row r="158" spans="1:9">
      <c r="A158" s="786" t="s">
        <v>317</v>
      </c>
      <c r="B158" s="771"/>
      <c r="C158" s="771"/>
      <c r="D158" s="771"/>
      <c r="E158" s="184"/>
      <c r="F158" s="771" t="s">
        <v>317</v>
      </c>
      <c r="G158" s="771"/>
      <c r="H158" s="771"/>
      <c r="I158" s="787"/>
    </row>
    <row r="159" spans="1:9">
      <c r="A159" s="189" t="s">
        <v>133</v>
      </c>
      <c r="B159" s="182" t="s">
        <v>142</v>
      </c>
      <c r="C159" s="182" t="s">
        <v>134</v>
      </c>
      <c r="D159" s="182" t="s">
        <v>24</v>
      </c>
      <c r="E159" s="184"/>
      <c r="F159" s="182" t="s">
        <v>133</v>
      </c>
      <c r="G159" s="182" t="s">
        <v>142</v>
      </c>
      <c r="H159" s="182" t="s">
        <v>134</v>
      </c>
      <c r="I159" s="191" t="s">
        <v>101</v>
      </c>
    </row>
    <row r="160" spans="1:9">
      <c r="A160" s="180">
        <v>6</v>
      </c>
      <c r="B160" s="182">
        <v>1</v>
      </c>
      <c r="C160" s="182">
        <v>26</v>
      </c>
      <c r="D160" s="183">
        <f>A160*B160*C160</f>
        <v>156</v>
      </c>
      <c r="E160" s="184"/>
      <c r="F160" s="173">
        <v>26.833300000000001</v>
      </c>
      <c r="G160" s="182">
        <v>1</v>
      </c>
      <c r="H160" s="182">
        <v>13</v>
      </c>
      <c r="I160" s="192">
        <f>F160*G160*H160</f>
        <v>348.8329</v>
      </c>
    </row>
    <row r="161" spans="1:9">
      <c r="A161" s="185"/>
      <c r="B161" s="186"/>
      <c r="C161" s="186"/>
      <c r="D161" s="187"/>
      <c r="E161" s="184"/>
      <c r="F161" s="188"/>
      <c r="G161" s="186"/>
      <c r="H161" s="186"/>
      <c r="I161" s="313"/>
    </row>
    <row r="162" spans="1:9" ht="18.649999999999999" customHeight="1">
      <c r="A162" s="189" t="s">
        <v>33</v>
      </c>
      <c r="B162" s="182" t="s">
        <v>3</v>
      </c>
      <c r="C162" s="182" t="s">
        <v>24</v>
      </c>
      <c r="D162" s="195"/>
      <c r="E162" s="184"/>
      <c r="F162" s="182" t="s">
        <v>24</v>
      </c>
      <c r="G162" s="182"/>
      <c r="H162" s="182" t="s">
        <v>24</v>
      </c>
      <c r="I162" s="314"/>
    </row>
    <row r="163" spans="1:9">
      <c r="A163" s="174">
        <f>I31</f>
        <v>481.09090909090907</v>
      </c>
      <c r="B163" s="182">
        <v>6</v>
      </c>
      <c r="C163" s="183">
        <f>A163*B163/100</f>
        <v>28.865454545454543</v>
      </c>
      <c r="D163" s="195"/>
      <c r="E163" s="184"/>
      <c r="F163" s="183">
        <f>I160</f>
        <v>348.8329</v>
      </c>
      <c r="G163" s="315">
        <v>0.2</v>
      </c>
      <c r="H163" s="183">
        <f>F163*G163</f>
        <v>69.766580000000005</v>
      </c>
      <c r="I163" s="314"/>
    </row>
    <row r="164" spans="1:9">
      <c r="A164" s="316"/>
      <c r="B164" s="184"/>
      <c r="C164" s="184"/>
      <c r="D164" s="195"/>
      <c r="E164" s="184"/>
      <c r="F164" s="317"/>
      <c r="G164" s="184"/>
      <c r="H164" s="184"/>
      <c r="I164" s="314"/>
    </row>
    <row r="165" spans="1:9" ht="14.5" thickBot="1">
      <c r="A165" s="318" t="s">
        <v>135</v>
      </c>
      <c r="B165" s="319"/>
      <c r="C165" s="320"/>
      <c r="D165" s="195"/>
      <c r="E165" s="184"/>
      <c r="F165" s="319" t="s">
        <v>136</v>
      </c>
      <c r="G165" s="319"/>
      <c r="H165" s="320"/>
      <c r="I165" s="314"/>
    </row>
    <row r="166" spans="1:9" ht="26.25" customHeight="1" thickBot="1">
      <c r="A166" s="174">
        <f>D160</f>
        <v>156</v>
      </c>
      <c r="B166" s="321">
        <f>C163</f>
        <v>28.865454545454543</v>
      </c>
      <c r="C166" s="322">
        <f>A166-B166</f>
        <v>127.13454545454546</v>
      </c>
      <c r="D166" s="323"/>
      <c r="E166" s="184"/>
      <c r="F166" s="183">
        <f>I160</f>
        <v>348.8329</v>
      </c>
      <c r="G166" s="324">
        <f>H163</f>
        <v>69.766580000000005</v>
      </c>
      <c r="H166" s="322">
        <f>F166-G166</f>
        <v>279.06632000000002</v>
      </c>
      <c r="I166" s="325"/>
    </row>
    <row r="167" spans="1: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9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0" sqref="K10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36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36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0" sqref="K10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ilha21">
    <tabColor rgb="FF92D050"/>
  </sheetPr>
  <dimension ref="A1:AE511"/>
  <sheetViews>
    <sheetView view="pageBreakPreview" zoomScaleNormal="96" zoomScaleSheetLayoutView="100" workbookViewId="0">
      <selection activeCell="N25" sqref="N25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3.1796875" style="2" customWidth="1"/>
    <col min="9" max="9" width="17.54296875" style="2" customWidth="1"/>
    <col min="10" max="31" width="9.1796875" style="84"/>
    <col min="32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343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43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9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</row>
    <row r="23" spans="1: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</row>
    <row r="24" spans="1: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</row>
    <row r="25" spans="1: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</row>
    <row r="26" spans="1: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</row>
    <row r="27" spans="1: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</row>
    <row r="28" spans="1:9">
      <c r="A28" s="143"/>
      <c r="B28" s="3"/>
      <c r="C28" s="3"/>
      <c r="D28" s="3"/>
      <c r="E28" s="3"/>
      <c r="F28" s="3"/>
      <c r="G28" s="3"/>
      <c r="H28" s="3"/>
      <c r="I28" s="6"/>
    </row>
    <row r="29" spans="1:9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</row>
    <row r="30" spans="1: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</row>
    <row r="31" spans="1: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</row>
    <row r="32" spans="1: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</row>
    <row r="33" spans="1: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</row>
    <row r="34" spans="1: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</row>
    <row r="35" spans="1: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</row>
    <row r="36" spans="1: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</row>
    <row r="37" spans="1: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</row>
    <row r="38" spans="1: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</row>
    <row r="39" spans="1:9">
      <c r="A39" s="95"/>
      <c r="B39" s="95"/>
      <c r="C39" s="95"/>
      <c r="D39" s="95"/>
      <c r="E39" s="95"/>
      <c r="F39" s="95"/>
      <c r="G39" s="95"/>
      <c r="H39" s="95"/>
      <c r="I39" s="11"/>
    </row>
    <row r="40" spans="1: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</row>
    <row r="41" spans="1: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</row>
    <row r="42" spans="1: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</row>
    <row r="43" spans="1: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</row>
    <row r="44" spans="1: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</row>
    <row r="45" spans="1: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</row>
    <row r="46" spans="1:9">
      <c r="A46" s="95"/>
      <c r="B46" s="95"/>
      <c r="C46" s="95"/>
      <c r="D46" s="95"/>
      <c r="E46" s="95"/>
      <c r="F46" s="95"/>
      <c r="G46" s="95"/>
      <c r="H46" s="15"/>
      <c r="I46" s="11"/>
    </row>
    <row r="47" spans="1: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</row>
    <row r="48" spans="1: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</row>
    <row r="49" spans="1: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</row>
    <row r="50" spans="1: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</row>
    <row r="51" spans="1: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</row>
    <row r="52" spans="1: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</row>
    <row r="53" spans="1: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</row>
    <row r="54" spans="1: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</row>
    <row r="55" spans="1: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</row>
    <row r="56" spans="1: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</row>
    <row r="57" spans="1: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</row>
    <row r="58" spans="1:9">
      <c r="A58" s="16"/>
      <c r="B58" s="16"/>
      <c r="C58" s="16"/>
      <c r="D58" s="16"/>
      <c r="E58" s="16"/>
      <c r="F58" s="16"/>
      <c r="G58" s="16"/>
      <c r="H58" s="17"/>
      <c r="I58" s="18"/>
    </row>
    <row r="59" spans="1:9">
      <c r="A59" s="67" t="s">
        <v>55</v>
      </c>
      <c r="B59" s="95"/>
      <c r="C59" s="95"/>
      <c r="D59" s="95"/>
      <c r="E59" s="95"/>
      <c r="F59" s="95"/>
      <c r="G59" s="95"/>
      <c r="H59" s="15"/>
      <c r="I59" s="11"/>
    </row>
    <row r="60" spans="1: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</row>
    <row r="61" spans="1: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4.75</v>
      </c>
      <c r="I61" s="70">
        <f>C166</f>
        <v>94.63454545454546</v>
      </c>
    </row>
    <row r="62" spans="1: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</row>
    <row r="63" spans="1: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</row>
    <row r="64" spans="1: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</row>
    <row r="65" spans="1: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</row>
    <row r="66" spans="1: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</row>
    <row r="67" spans="1: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</row>
    <row r="68" spans="1:9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</row>
    <row r="69" spans="1: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</row>
    <row r="70" spans="1: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</row>
    <row r="71" spans="1: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</row>
    <row r="72" spans="1: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</row>
    <row r="73" spans="1: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517.20079999999996</v>
      </c>
    </row>
    <row r="74" spans="1:9">
      <c r="A74" s="95"/>
      <c r="B74" s="95"/>
      <c r="C74" s="95"/>
      <c r="D74" s="95"/>
      <c r="E74" s="95"/>
      <c r="F74" s="95"/>
      <c r="G74" s="95"/>
      <c r="H74" s="95"/>
      <c r="I74" s="11"/>
    </row>
    <row r="75" spans="1: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517.20079999999996</v>
      </c>
    </row>
    <row r="80" spans="1: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767.36059999999998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 ht="16.899999999999999" customHeight="1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 ht="16.899999999999999" customHeight="1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106.68851666666666</v>
      </c>
    </row>
    <row r="96" spans="1:9" ht="16.899999999999999" customHeight="1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21.33770333333333</v>
      </c>
    </row>
    <row r="97" spans="1:9" ht="16.899999999999999" customHeight="1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0.4554285259141333</v>
      </c>
    </row>
    <row r="98" spans="1:9" ht="16.899999999999999" customHeight="1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0.23471473666666665</v>
      </c>
    </row>
    <row r="99" spans="1:9" ht="16.899999999999999" customHeight="1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1.8272670685403904</v>
      </c>
    </row>
    <row r="100" spans="1:9" ht="16.899999999999999" customHeight="1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 ht="16.899999999999999" customHeight="1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130.5436</v>
      </c>
    </row>
    <row r="102" spans="1:9" ht="16.899999999999999" customHeight="1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 ht="16.899999999999999" customHeight="1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130.5436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130.5436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7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81.19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115.78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12.9569925561029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59.801504105090309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99.669173508483865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369.39760000000001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767.36059999999998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130.5436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1623.9857999999999</v>
      </c>
    </row>
    <row r="146" spans="1: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369.39760000000001</v>
      </c>
    </row>
    <row r="147" spans="1: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1993.3833999999999</v>
      </c>
    </row>
    <row r="148" spans="1:9">
      <c r="A148" s="5"/>
      <c r="B148" s="5"/>
      <c r="C148" s="5"/>
      <c r="D148" s="5"/>
      <c r="E148" s="5"/>
      <c r="F148" s="5"/>
      <c r="G148" s="5"/>
      <c r="H148" s="5"/>
      <c r="I148" s="69"/>
    </row>
    <row r="149" spans="1:9" s="326" customFormat="1">
      <c r="A149" s="684" t="s">
        <v>88</v>
      </c>
      <c r="B149" s="685"/>
      <c r="C149" s="685"/>
      <c r="D149" s="685"/>
      <c r="E149" s="685"/>
      <c r="F149" s="685"/>
      <c r="G149" s="685"/>
      <c r="H149" s="685"/>
      <c r="I149" s="686"/>
    </row>
    <row r="150" spans="1:9" s="326" customFormat="1" ht="42">
      <c r="A150" s="796" t="s">
        <v>90</v>
      </c>
      <c r="B150" s="796"/>
      <c r="C150" s="796" t="s">
        <v>91</v>
      </c>
      <c r="D150" s="796"/>
      <c r="E150" s="68" t="s">
        <v>293</v>
      </c>
      <c r="F150" s="796" t="s">
        <v>92</v>
      </c>
      <c r="G150" s="796"/>
      <c r="H150" s="68" t="s">
        <v>93</v>
      </c>
      <c r="I150" s="68" t="s">
        <v>94</v>
      </c>
    </row>
    <row r="151" spans="1:9" s="326" customFormat="1" ht="27.65" customHeight="1">
      <c r="A151" s="788" t="str">
        <f>I23</f>
        <v>Limpeza</v>
      </c>
      <c r="B151" s="789"/>
      <c r="C151" s="793">
        <f>(I147-I117)</f>
        <v>1993.3833999999999</v>
      </c>
      <c r="D151" s="793"/>
      <c r="E151" s="332">
        <v>1</v>
      </c>
      <c r="F151" s="793">
        <f>(I147-I117)</f>
        <v>1993.3833999999999</v>
      </c>
      <c r="G151" s="793"/>
      <c r="H151" s="332">
        <v>1</v>
      </c>
      <c r="I151" s="333">
        <f>F151*H151</f>
        <v>1993.3833999999999</v>
      </c>
    </row>
    <row r="152" spans="1:9" s="326" customFormat="1">
      <c r="A152" s="788" t="s">
        <v>298</v>
      </c>
      <c r="B152" s="789"/>
      <c r="C152" s="790">
        <v>0</v>
      </c>
      <c r="D152" s="791"/>
      <c r="E152" s="334">
        <v>0</v>
      </c>
      <c r="F152" s="792">
        <v>0</v>
      </c>
      <c r="G152" s="792"/>
      <c r="H152" s="334">
        <v>0</v>
      </c>
      <c r="I152" s="29">
        <v>0</v>
      </c>
    </row>
    <row r="153" spans="1:9" s="326" customFormat="1">
      <c r="A153" s="335" t="s">
        <v>306</v>
      </c>
      <c r="B153" s="336"/>
      <c r="C153" s="793"/>
      <c r="D153" s="794"/>
      <c r="E153" s="337"/>
      <c r="F153" s="795"/>
      <c r="G153" s="795"/>
      <c r="H153" s="338"/>
      <c r="I153" s="339">
        <f>TRUNC(SUM(I152,I151),4)</f>
        <v>1993.3833999999999</v>
      </c>
    </row>
    <row r="154" spans="1:9" s="326" customFormat="1">
      <c r="A154" s="340" t="s">
        <v>307</v>
      </c>
      <c r="B154" s="217"/>
      <c r="C154" s="215"/>
      <c r="D154" s="217"/>
      <c r="E154" s="217"/>
      <c r="F154" s="217"/>
      <c r="G154" s="217"/>
      <c r="H154" s="216"/>
      <c r="I154" s="232">
        <f>TRUNC((I153*12),4)</f>
        <v>23920.6008</v>
      </c>
    </row>
    <row r="155" spans="1:9" s="326" customFormat="1">
      <c r="A155" s="95"/>
      <c r="B155" s="95"/>
      <c r="C155" s="95"/>
      <c r="D155" s="95"/>
      <c r="E155" s="95"/>
      <c r="F155" s="95"/>
      <c r="G155" s="95"/>
      <c r="H155" s="95"/>
      <c r="I155" s="341"/>
    </row>
    <row r="156" spans="1: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</row>
    <row r="157" spans="1: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</row>
    <row r="158" spans="1:9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</row>
    <row r="159" spans="1: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</row>
    <row r="160" spans="1:9">
      <c r="A160" s="180">
        <v>4.75</v>
      </c>
      <c r="B160" s="37">
        <v>1</v>
      </c>
      <c r="C160" s="37">
        <v>26</v>
      </c>
      <c r="D160" s="99">
        <f>A160*B160*C160</f>
        <v>123.5</v>
      </c>
      <c r="E160" s="32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</row>
    <row r="161" spans="1:9">
      <c r="A161" s="77"/>
      <c r="B161" s="78"/>
      <c r="C161" s="79"/>
      <c r="D161" s="80"/>
      <c r="E161" s="32"/>
      <c r="F161" s="81"/>
      <c r="G161" s="79"/>
      <c r="H161" s="79"/>
      <c r="I161" s="82"/>
    </row>
    <row r="162" spans="1: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</row>
    <row r="163" spans="1:9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</row>
    <row r="164" spans="1:9">
      <c r="A164" s="46"/>
      <c r="B164" s="40"/>
      <c r="C164" s="40"/>
      <c r="D164" s="41"/>
      <c r="E164" s="32"/>
      <c r="F164" s="42"/>
      <c r="G164" s="40"/>
      <c r="H164" s="40"/>
      <c r="I164" s="43"/>
    </row>
    <row r="165" spans="1: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</row>
    <row r="166" spans="1:9" ht="26.25" customHeight="1" thickBot="1">
      <c r="A166" s="44">
        <f>D160</f>
        <v>123.5</v>
      </c>
      <c r="B166" s="50">
        <f>C163</f>
        <v>28.865454545454543</v>
      </c>
      <c r="C166" s="51">
        <f>A166-B166</f>
        <v>94.63454545454546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</row>
    <row r="167" spans="1:9">
      <c r="A167" s="104"/>
      <c r="B167" s="104"/>
      <c r="C167" s="104"/>
      <c r="D167" s="40"/>
      <c r="E167" s="32"/>
      <c r="F167" s="104"/>
      <c r="G167" s="105"/>
      <c r="H167" s="104"/>
      <c r="I167" s="40"/>
    </row>
    <row r="168" spans="1:9" s="84" customFormat="1"/>
    <row r="169" spans="1:9" s="84" customFormat="1"/>
    <row r="170" spans="1:9" s="84" customFormat="1"/>
    <row r="171" spans="1:9" s="84" customFormat="1"/>
    <row r="172" spans="1:9" s="84" customFormat="1"/>
    <row r="173" spans="1:9" s="84" customFormat="1"/>
    <row r="174" spans="1:9" s="84" customFormat="1"/>
    <row r="175" spans="1:9" s="84" customFormat="1"/>
    <row r="176" spans="1:9" s="84" customFormat="1"/>
    <row r="177" s="84" customFormat="1"/>
    <row r="178" s="84" customFormat="1"/>
    <row r="179" s="84" customFormat="1"/>
    <row r="180" s="84" customFormat="1"/>
    <row r="181" s="84" customFormat="1"/>
    <row r="182" s="84" customFormat="1"/>
    <row r="183" s="84" customFormat="1"/>
    <row r="184" s="84" customFormat="1"/>
    <row r="185" s="84" customFormat="1"/>
    <row r="186" s="84" customFormat="1"/>
    <row r="187" s="84" customFormat="1"/>
    <row r="188" s="84" customFormat="1"/>
    <row r="189" s="84" customFormat="1"/>
    <row r="190" s="84" customFormat="1"/>
    <row r="191" s="84" customFormat="1"/>
    <row r="192" s="84" customFormat="1"/>
    <row r="193" s="84" customFormat="1"/>
    <row r="194" s="84" customFormat="1"/>
    <row r="195" s="84" customFormat="1"/>
    <row r="196" s="84" customFormat="1"/>
    <row r="197" s="84" customFormat="1"/>
    <row r="198" s="84" customFormat="1"/>
    <row r="199" s="84" customFormat="1"/>
    <row r="200" s="84" customFormat="1"/>
    <row r="201" s="84" customFormat="1"/>
    <row r="202" s="84" customFormat="1"/>
    <row r="203" s="84" customFormat="1"/>
    <row r="204" s="84" customFormat="1"/>
    <row r="205" s="84" customFormat="1"/>
    <row r="206" s="84" customFormat="1"/>
    <row r="207" s="84" customFormat="1"/>
    <row r="208" s="84" customFormat="1"/>
    <row r="209" s="84" customFormat="1"/>
    <row r="210" s="84" customFormat="1"/>
    <row r="211" s="84" customFormat="1"/>
    <row r="212" s="84" customFormat="1"/>
    <row r="213" s="84" customFormat="1"/>
    <row r="214" s="84" customFormat="1"/>
    <row r="215" s="84" customFormat="1"/>
    <row r="216" s="84" customFormat="1"/>
    <row r="217" s="84" customFormat="1"/>
    <row r="218" s="84" customFormat="1"/>
    <row r="219" s="84" customFormat="1"/>
    <row r="220" s="84" customFormat="1"/>
    <row r="221" s="84" customFormat="1"/>
    <row r="222" s="84" customFormat="1"/>
    <row r="223" s="84" customFormat="1"/>
    <row r="224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  <row r="371" s="84" customFormat="1"/>
    <row r="372" s="84" customFormat="1"/>
    <row r="373" s="84" customFormat="1"/>
    <row r="374" s="84" customFormat="1"/>
    <row r="375" s="84" customFormat="1"/>
    <row r="376" s="84" customFormat="1"/>
    <row r="377" s="84" customFormat="1"/>
    <row r="378" s="84" customFormat="1"/>
    <row r="379" s="84" customFormat="1"/>
    <row r="380" s="84" customFormat="1"/>
    <row r="381" s="84" customFormat="1"/>
    <row r="382" s="84" customFormat="1"/>
    <row r="383" s="84" customFormat="1"/>
    <row r="384" s="84" customFormat="1"/>
    <row r="385" s="84" customFormat="1"/>
    <row r="386" s="84" customFormat="1"/>
    <row r="387" s="84" customFormat="1"/>
    <row r="388" s="84" customFormat="1"/>
    <row r="389" s="84" customFormat="1"/>
    <row r="390" s="84" customFormat="1"/>
    <row r="391" s="84" customFormat="1"/>
    <row r="392" s="84" customFormat="1"/>
    <row r="393" s="84" customFormat="1"/>
    <row r="394" s="84" customFormat="1"/>
    <row r="395" s="84" customFormat="1"/>
    <row r="396" s="84" customFormat="1"/>
    <row r="397" s="84" customFormat="1"/>
    <row r="398" s="84" customFormat="1"/>
    <row r="399" s="84" customFormat="1"/>
    <row r="400" s="84" customFormat="1"/>
    <row r="401" s="84" customFormat="1"/>
    <row r="402" s="84" customFormat="1"/>
    <row r="403" s="84" customFormat="1"/>
    <row r="404" s="84" customFormat="1"/>
    <row r="405" s="84" customFormat="1"/>
    <row r="406" s="84" customFormat="1"/>
    <row r="407" s="84" customFormat="1"/>
    <row r="408" s="84" customFormat="1"/>
    <row r="409" s="84" customFormat="1"/>
    <row r="410" s="84" customFormat="1"/>
    <row r="411" s="84" customFormat="1"/>
    <row r="412" s="84" customFormat="1"/>
    <row r="413" s="84" customFormat="1"/>
    <row r="414" s="84" customFormat="1"/>
    <row r="415" s="84" customFormat="1"/>
    <row r="416" s="84" customFormat="1"/>
    <row r="417" s="84" customFormat="1"/>
    <row r="418" s="84" customFormat="1"/>
    <row r="419" s="84" customFormat="1"/>
    <row r="420" s="84" customFormat="1"/>
    <row r="421" s="84" customFormat="1"/>
    <row r="422" s="84" customFormat="1"/>
    <row r="423" s="84" customFormat="1"/>
    <row r="424" s="84" customFormat="1"/>
    <row r="425" s="84" customFormat="1"/>
    <row r="426" s="84" customFormat="1"/>
    <row r="427" s="84" customFormat="1"/>
    <row r="428" s="84" customFormat="1"/>
    <row r="429" s="84" customFormat="1"/>
    <row r="430" s="84" customFormat="1"/>
    <row r="431" s="84" customFormat="1"/>
    <row r="432" s="84" customFormat="1"/>
    <row r="433" s="84" customFormat="1"/>
    <row r="434" s="84" customFormat="1"/>
    <row r="435" s="84" customFormat="1"/>
    <row r="436" s="84" customFormat="1"/>
    <row r="437" s="84" customFormat="1"/>
    <row r="438" s="84" customFormat="1"/>
    <row r="439" s="84" customFormat="1"/>
    <row r="440" s="84" customFormat="1"/>
    <row r="441" s="84" customFormat="1"/>
    <row r="442" s="84" customFormat="1"/>
    <row r="443" s="84" customFormat="1"/>
    <row r="444" s="84" customFormat="1"/>
    <row r="445" s="84" customFormat="1"/>
    <row r="446" s="84" customFormat="1"/>
    <row r="447" s="84" customFormat="1"/>
    <row r="448" s="84" customFormat="1"/>
    <row r="449" s="84" customFormat="1"/>
    <row r="450" s="84" customFormat="1"/>
    <row r="451" s="84" customFormat="1"/>
    <row r="452" s="84" customFormat="1"/>
    <row r="453" s="84" customFormat="1"/>
    <row r="454" s="84" customFormat="1"/>
    <row r="455" s="84" customFormat="1"/>
    <row r="456" s="84" customFormat="1"/>
    <row r="457" s="84" customFormat="1"/>
    <row r="458" s="84" customFormat="1"/>
    <row r="459" s="84" customFormat="1"/>
    <row r="460" s="84" customFormat="1"/>
    <row r="461" s="84" customFormat="1"/>
    <row r="462" s="84" customFormat="1"/>
    <row r="463" s="84" customFormat="1"/>
    <row r="464" s="84" customFormat="1"/>
    <row r="465" s="84" customFormat="1"/>
    <row r="466" s="84" customFormat="1"/>
    <row r="467" s="84" customFormat="1"/>
    <row r="468" s="84" customFormat="1"/>
    <row r="469" s="84" customFormat="1"/>
    <row r="470" s="84" customFormat="1"/>
    <row r="471" s="84" customFormat="1"/>
    <row r="472" s="84" customFormat="1"/>
    <row r="473" s="84" customFormat="1"/>
    <row r="474" s="84" customFormat="1"/>
    <row r="475" s="84" customFormat="1"/>
    <row r="476" s="84" customFormat="1"/>
    <row r="477" s="84" customFormat="1"/>
    <row r="478" s="84" customFormat="1"/>
    <row r="479" s="84" customFormat="1"/>
    <row r="480" s="84" customFormat="1"/>
    <row r="481" s="84" customFormat="1"/>
    <row r="482" s="84" customFormat="1"/>
    <row r="483" s="84" customFormat="1"/>
    <row r="484" s="84" customFormat="1"/>
    <row r="485" s="84" customFormat="1"/>
    <row r="486" s="84" customFormat="1"/>
    <row r="487" s="84" customFormat="1"/>
    <row r="488" s="84" customFormat="1"/>
    <row r="489" s="84" customFormat="1"/>
    <row r="490" s="84" customFormat="1"/>
    <row r="491" s="84" customFormat="1"/>
    <row r="492" s="84" customFormat="1"/>
    <row r="493" s="84" customFormat="1"/>
    <row r="494" s="84" customFormat="1"/>
    <row r="495" s="84" customFormat="1"/>
    <row r="496" s="84" customFormat="1"/>
    <row r="497" s="84" customFormat="1"/>
    <row r="498" s="84" customFormat="1"/>
    <row r="499" s="84" customFormat="1"/>
    <row r="500" s="84" customFormat="1"/>
    <row r="501" s="84" customFormat="1"/>
    <row r="502" s="84" customFormat="1"/>
    <row r="503" s="84" customFormat="1"/>
    <row r="504" s="84" customFormat="1"/>
    <row r="505" s="84" customFormat="1"/>
    <row r="506" s="84" customFormat="1"/>
    <row r="507" s="84" customFormat="1"/>
    <row r="508" s="84" customFormat="1"/>
    <row r="509" s="84" customFormat="1"/>
    <row r="510" s="84" customFormat="1"/>
    <row r="511" s="84" customFormat="1"/>
  </sheetData>
  <customSheetViews>
    <customSheetView guid="{7D072CBA-4F2D-4FAE-88D9-B6A678BA20E4}" showPageBreaks="1" printArea="1" view="pageBreakPreview">
      <selection activeCell="O21" sqref="O2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25" sqref="I2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O21" sqref="O2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ilha22">
    <tabColor rgb="FF92D050"/>
  </sheetPr>
  <dimension ref="A1:AX713"/>
  <sheetViews>
    <sheetView view="pageBreakPreview" topLeftCell="A7" zoomScaleNormal="96" zoomScaleSheetLayoutView="100" workbookViewId="0">
      <selection activeCell="L23" sqref="L23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50" width="9.1796875" style="84"/>
    <col min="5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342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50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50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50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50" ht="13.9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50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5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AS22" s="2"/>
      <c r="AT22" s="2"/>
      <c r="AU22" s="2"/>
      <c r="AV22" s="2"/>
      <c r="AW22" s="2"/>
      <c r="AX22" s="2"/>
    </row>
    <row r="23" spans="1:5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AS23" s="2"/>
      <c r="AT23" s="2"/>
      <c r="AU23" s="2"/>
      <c r="AV23" s="2"/>
      <c r="AW23" s="2"/>
      <c r="AX23" s="2"/>
    </row>
    <row r="24" spans="1:5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AS24" s="2"/>
      <c r="AT24" s="2"/>
      <c r="AU24" s="2"/>
      <c r="AV24" s="2"/>
      <c r="AW24" s="2"/>
      <c r="AX24" s="2"/>
    </row>
    <row r="25" spans="1:5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AS25" s="2"/>
      <c r="AT25" s="2"/>
      <c r="AU25" s="2"/>
      <c r="AV25" s="2"/>
      <c r="AW25" s="2"/>
      <c r="AX25" s="2"/>
    </row>
    <row r="26" spans="1:5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AS26" s="2"/>
      <c r="AT26" s="2"/>
      <c r="AU26" s="2"/>
      <c r="AV26" s="2"/>
      <c r="AW26" s="2"/>
      <c r="AX26" s="2"/>
    </row>
    <row r="27" spans="1:5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AS27" s="2"/>
      <c r="AT27" s="2"/>
      <c r="AU27" s="2"/>
      <c r="AV27" s="2"/>
      <c r="AW27" s="2"/>
      <c r="AX27" s="2"/>
    </row>
    <row r="28" spans="1:50">
      <c r="A28" s="143"/>
      <c r="B28" s="3"/>
      <c r="C28" s="3"/>
      <c r="D28" s="3"/>
      <c r="E28" s="3"/>
      <c r="F28" s="3"/>
      <c r="G28" s="3"/>
      <c r="H28" s="3"/>
      <c r="I28" s="6"/>
      <c r="AS28" s="2"/>
      <c r="AT28" s="2"/>
      <c r="AU28" s="2"/>
      <c r="AV28" s="2"/>
      <c r="AW28" s="2"/>
      <c r="AX28" s="2"/>
    </row>
    <row r="29" spans="1:50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  <c r="AS29" s="2"/>
      <c r="AT29" s="2"/>
      <c r="AU29" s="2"/>
      <c r="AV29" s="2"/>
      <c r="AW29" s="2"/>
      <c r="AX29" s="2"/>
    </row>
    <row r="30" spans="1:5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AS30" s="2"/>
      <c r="AT30" s="2"/>
      <c r="AU30" s="2"/>
      <c r="AV30" s="2"/>
      <c r="AW30" s="2"/>
      <c r="AX30" s="2"/>
    </row>
    <row r="31" spans="1:5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AS31" s="2"/>
      <c r="AT31" s="2"/>
      <c r="AU31" s="2"/>
      <c r="AV31" s="2"/>
      <c r="AW31" s="2"/>
      <c r="AX31" s="2"/>
    </row>
    <row r="32" spans="1:50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AS32" s="2"/>
      <c r="AT32" s="2"/>
      <c r="AU32" s="2"/>
      <c r="AV32" s="2"/>
      <c r="AW32" s="2"/>
      <c r="AX32" s="2"/>
    </row>
    <row r="33" spans="1:50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AS33" s="2"/>
      <c r="AT33" s="2"/>
      <c r="AU33" s="2"/>
      <c r="AV33" s="2"/>
      <c r="AW33" s="2"/>
      <c r="AX33" s="2"/>
    </row>
    <row r="34" spans="1:50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AS34" s="2"/>
      <c r="AT34" s="2"/>
      <c r="AU34" s="2"/>
      <c r="AV34" s="2"/>
      <c r="AW34" s="2"/>
      <c r="AX34" s="2"/>
    </row>
    <row r="35" spans="1:5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AS35" s="2"/>
      <c r="AT35" s="2"/>
      <c r="AU35" s="2"/>
      <c r="AV35" s="2"/>
      <c r="AW35" s="2"/>
      <c r="AX35" s="2"/>
    </row>
    <row r="36" spans="1:5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AS36" s="2"/>
      <c r="AT36" s="2"/>
      <c r="AU36" s="2"/>
      <c r="AV36" s="2"/>
      <c r="AW36" s="2"/>
      <c r="AX36" s="2"/>
    </row>
    <row r="37" spans="1:5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AS37" s="2"/>
      <c r="AT37" s="2"/>
      <c r="AU37" s="2"/>
      <c r="AV37" s="2"/>
      <c r="AW37" s="2"/>
      <c r="AX37" s="2"/>
    </row>
    <row r="38" spans="1:5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AS38" s="2"/>
      <c r="AT38" s="2"/>
      <c r="AU38" s="2"/>
      <c r="AV38" s="2"/>
      <c r="AW38" s="2"/>
      <c r="AX38" s="2"/>
    </row>
    <row r="39" spans="1:50">
      <c r="A39" s="95"/>
      <c r="B39" s="95"/>
      <c r="C39" s="95"/>
      <c r="D39" s="95"/>
      <c r="E39" s="95"/>
      <c r="F39" s="95"/>
      <c r="G39" s="95"/>
      <c r="H39" s="95"/>
      <c r="I39" s="11"/>
      <c r="AS39" s="2"/>
      <c r="AT39" s="2"/>
      <c r="AU39" s="2"/>
      <c r="AV39" s="2"/>
      <c r="AW39" s="2"/>
      <c r="AX39" s="2"/>
    </row>
    <row r="40" spans="1:5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AS40" s="2"/>
      <c r="AT40" s="2"/>
      <c r="AU40" s="2"/>
      <c r="AV40" s="2"/>
      <c r="AW40" s="2"/>
      <c r="AX40" s="2"/>
    </row>
    <row r="41" spans="1:5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AS41" s="2"/>
      <c r="AT41" s="2"/>
      <c r="AU41" s="2"/>
      <c r="AV41" s="2"/>
      <c r="AW41" s="2"/>
      <c r="AX41" s="2"/>
    </row>
    <row r="42" spans="1:5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AS42" s="2"/>
      <c r="AT42" s="2"/>
      <c r="AU42" s="2"/>
      <c r="AV42" s="2"/>
      <c r="AW42" s="2"/>
      <c r="AX42" s="2"/>
    </row>
    <row r="43" spans="1:5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AS43" s="2"/>
      <c r="AT43" s="2"/>
      <c r="AU43" s="2"/>
      <c r="AV43" s="2"/>
      <c r="AW43" s="2"/>
      <c r="AX43" s="2"/>
    </row>
    <row r="44" spans="1:5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AS44" s="2"/>
      <c r="AT44" s="2"/>
      <c r="AU44" s="2"/>
      <c r="AV44" s="2"/>
      <c r="AW44" s="2"/>
      <c r="AX44" s="2"/>
    </row>
    <row r="45" spans="1:5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AS45" s="2"/>
      <c r="AT45" s="2"/>
      <c r="AU45" s="2"/>
      <c r="AV45" s="2"/>
      <c r="AW45" s="2"/>
      <c r="AX45" s="2"/>
    </row>
    <row r="46" spans="1:50">
      <c r="A46" s="95"/>
      <c r="B46" s="95"/>
      <c r="C46" s="95"/>
      <c r="D46" s="95"/>
      <c r="E46" s="95"/>
      <c r="F46" s="95"/>
      <c r="G46" s="95"/>
      <c r="H46" s="15"/>
      <c r="I46" s="11"/>
      <c r="AS46" s="2"/>
      <c r="AT46" s="2"/>
      <c r="AU46" s="2"/>
      <c r="AV46" s="2"/>
      <c r="AW46" s="2"/>
      <c r="AX46" s="2"/>
    </row>
    <row r="47" spans="1:50" ht="13.9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AS47" s="2"/>
      <c r="AT47" s="2"/>
      <c r="AU47" s="2"/>
      <c r="AV47" s="2"/>
      <c r="AW47" s="2"/>
      <c r="AX47" s="2"/>
    </row>
    <row r="48" spans="1:5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AS48" s="2"/>
      <c r="AT48" s="2"/>
      <c r="AU48" s="2"/>
      <c r="AV48" s="2"/>
      <c r="AW48" s="2"/>
      <c r="AX48" s="2"/>
    </row>
    <row r="49" spans="1:5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AS49" s="2"/>
      <c r="AT49" s="2"/>
      <c r="AU49" s="2"/>
      <c r="AV49" s="2"/>
      <c r="AW49" s="2"/>
      <c r="AX49" s="2"/>
    </row>
    <row r="50" spans="1:5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AS50" s="2"/>
      <c r="AT50" s="2"/>
      <c r="AU50" s="2"/>
      <c r="AV50" s="2"/>
      <c r="AW50" s="2"/>
      <c r="AX50" s="2"/>
    </row>
    <row r="51" spans="1:5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AS51" s="2"/>
      <c r="AT51" s="2"/>
      <c r="AU51" s="2"/>
      <c r="AV51" s="2"/>
      <c r="AW51" s="2"/>
      <c r="AX51" s="2"/>
    </row>
    <row r="52" spans="1:5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AS52" s="2"/>
      <c r="AT52" s="2"/>
      <c r="AU52" s="2"/>
      <c r="AV52" s="2"/>
      <c r="AW52" s="2"/>
      <c r="AX52" s="2"/>
    </row>
    <row r="53" spans="1:5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AS53" s="2"/>
      <c r="AT53" s="2"/>
      <c r="AU53" s="2"/>
      <c r="AV53" s="2"/>
      <c r="AW53" s="2"/>
      <c r="AX53" s="2"/>
    </row>
    <row r="54" spans="1:5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AS54" s="2"/>
      <c r="AT54" s="2"/>
      <c r="AU54" s="2"/>
      <c r="AV54" s="2"/>
      <c r="AW54" s="2"/>
      <c r="AX54" s="2"/>
    </row>
    <row r="55" spans="1:5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AS55" s="2"/>
      <c r="AT55" s="2"/>
      <c r="AU55" s="2"/>
      <c r="AV55" s="2"/>
      <c r="AW55" s="2"/>
      <c r="AX55" s="2"/>
    </row>
    <row r="56" spans="1:5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AS56" s="2"/>
      <c r="AT56" s="2"/>
      <c r="AU56" s="2"/>
      <c r="AV56" s="2"/>
      <c r="AW56" s="2"/>
      <c r="AX56" s="2"/>
    </row>
    <row r="57" spans="1:5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AS57" s="2"/>
      <c r="AT57" s="2"/>
      <c r="AU57" s="2"/>
      <c r="AV57" s="2"/>
      <c r="AW57" s="2"/>
      <c r="AX57" s="2"/>
    </row>
    <row r="58" spans="1:50">
      <c r="A58" s="16"/>
      <c r="B58" s="16"/>
      <c r="C58" s="16"/>
      <c r="D58" s="16"/>
      <c r="E58" s="16"/>
      <c r="F58" s="16"/>
      <c r="G58" s="16"/>
      <c r="H58" s="17"/>
      <c r="I58" s="18"/>
      <c r="AS58" s="2"/>
      <c r="AT58" s="2"/>
      <c r="AU58" s="2"/>
      <c r="AV58" s="2"/>
      <c r="AW58" s="2"/>
      <c r="AX58" s="2"/>
    </row>
    <row r="59" spans="1:5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AS59" s="2"/>
      <c r="AT59" s="2"/>
      <c r="AU59" s="2"/>
      <c r="AV59" s="2"/>
      <c r="AW59" s="2"/>
      <c r="AX59" s="2"/>
    </row>
    <row r="60" spans="1:5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AS60" s="2"/>
      <c r="AT60" s="2"/>
      <c r="AU60" s="2"/>
      <c r="AV60" s="2"/>
      <c r="AW60" s="2"/>
      <c r="AX60" s="2"/>
    </row>
    <row r="61" spans="1:5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v>0</v>
      </c>
      <c r="J61" t="s">
        <v>583</v>
      </c>
      <c r="AS61" s="2"/>
      <c r="AT61" s="2"/>
      <c r="AU61" s="2"/>
      <c r="AV61" s="2"/>
      <c r="AW61" s="2"/>
      <c r="AX61" s="2"/>
    </row>
    <row r="62" spans="1:5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AS62" s="2"/>
      <c r="AT62" s="2"/>
      <c r="AU62" s="2"/>
      <c r="AV62" s="2"/>
      <c r="AW62" s="2"/>
      <c r="AX62" s="2"/>
    </row>
    <row r="63" spans="1:5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AS63" s="2"/>
      <c r="AT63" s="2"/>
      <c r="AU63" s="2"/>
      <c r="AV63" s="2"/>
      <c r="AW63" s="2"/>
      <c r="AX63" s="2"/>
    </row>
    <row r="64" spans="1:5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AS64" s="2"/>
      <c r="AT64" s="2"/>
      <c r="AU64" s="2"/>
      <c r="AV64" s="2"/>
      <c r="AW64" s="2"/>
      <c r="AX64" s="2"/>
    </row>
    <row r="65" spans="1:5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AS65" s="2"/>
      <c r="AT65" s="2"/>
      <c r="AU65" s="2"/>
      <c r="AV65" s="2"/>
      <c r="AW65" s="2"/>
      <c r="AX65" s="2"/>
    </row>
    <row r="66" spans="1:5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AS66" s="2"/>
      <c r="AT66" s="2"/>
      <c r="AU66" s="2"/>
      <c r="AV66" s="2"/>
      <c r="AW66" s="2"/>
      <c r="AX66" s="2"/>
    </row>
    <row r="67" spans="1:5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AS67" s="2"/>
      <c r="AT67" s="2"/>
      <c r="AU67" s="2"/>
      <c r="AV67" s="2"/>
      <c r="AW67" s="2"/>
      <c r="AX67" s="2"/>
    </row>
    <row r="68" spans="1:50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AS68" s="2"/>
      <c r="AT68" s="2"/>
      <c r="AU68" s="2"/>
      <c r="AV68" s="2"/>
      <c r="AW68" s="2"/>
      <c r="AX68" s="2"/>
    </row>
    <row r="69" spans="1:5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AS69" s="2"/>
      <c r="AT69" s="2"/>
      <c r="AU69" s="2"/>
      <c r="AV69" s="2"/>
      <c r="AW69" s="2"/>
      <c r="AX69" s="2"/>
    </row>
    <row r="70" spans="1:5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AS70" s="2"/>
      <c r="AT70" s="2"/>
      <c r="AU70" s="2"/>
      <c r="AV70" s="2"/>
      <c r="AW70" s="2"/>
      <c r="AX70" s="2"/>
    </row>
    <row r="71" spans="1:5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AS71" s="2"/>
      <c r="AT71" s="2"/>
      <c r="AU71" s="2"/>
      <c r="AV71" s="2"/>
      <c r="AW71" s="2"/>
      <c r="AX71" s="2"/>
    </row>
    <row r="72" spans="1:5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AS72" s="2"/>
      <c r="AT72" s="2"/>
      <c r="AU72" s="2"/>
      <c r="AV72" s="2"/>
      <c r="AW72" s="2"/>
      <c r="AX72" s="2"/>
    </row>
    <row r="73" spans="1:5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AS73" s="2"/>
      <c r="AT73" s="2"/>
      <c r="AU73" s="2"/>
      <c r="AV73" s="2"/>
      <c r="AW73" s="2"/>
      <c r="AX73" s="2"/>
    </row>
    <row r="74" spans="1:50">
      <c r="A74" s="95"/>
      <c r="B74" s="95"/>
      <c r="C74" s="95"/>
      <c r="D74" s="95"/>
      <c r="E74" s="95"/>
      <c r="F74" s="95"/>
      <c r="G74" s="95"/>
      <c r="H74" s="95"/>
      <c r="I74" s="11"/>
    </row>
    <row r="75" spans="1:5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5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5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5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5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5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12.12494915161467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55.961303776683089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93.268839627805164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345.67500000000001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5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5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345.67500000000001</v>
      </c>
    </row>
    <row r="147" spans="1:5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1865.3767</v>
      </c>
    </row>
    <row r="148" spans="1:50">
      <c r="A148" s="5"/>
      <c r="B148" s="5"/>
      <c r="C148" s="5"/>
      <c r="D148" s="5"/>
      <c r="E148" s="5"/>
      <c r="F148" s="5"/>
      <c r="G148" s="5"/>
      <c r="H148" s="5"/>
      <c r="I148" s="69"/>
    </row>
    <row r="149" spans="1:5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50" ht="55.15" customHeight="1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50" ht="27.65" customHeight="1">
      <c r="A151" s="681" t="str">
        <f>I23</f>
        <v>Limpeza</v>
      </c>
      <c r="B151" s="682"/>
      <c r="C151" s="683">
        <f>(I147-I117)</f>
        <v>1865.3767</v>
      </c>
      <c r="D151" s="683"/>
      <c r="E151" s="72">
        <v>1</v>
      </c>
      <c r="F151" s="683">
        <f>(I147-I117)</f>
        <v>1865.3767</v>
      </c>
      <c r="G151" s="683"/>
      <c r="H151" s="72">
        <v>1</v>
      </c>
      <c r="I151" s="141">
        <f>F151*H151</f>
        <v>1865.3767</v>
      </c>
    </row>
    <row r="152" spans="1:5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5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1865.3767</v>
      </c>
    </row>
    <row r="154" spans="1:5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22384.520400000001</v>
      </c>
    </row>
    <row r="155" spans="1:50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5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AS156" s="2"/>
      <c r="AT156" s="2"/>
      <c r="AU156" s="2"/>
      <c r="AV156" s="2"/>
      <c r="AW156" s="2"/>
      <c r="AX156" s="2"/>
    </row>
    <row r="157" spans="1:50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AS157" s="2"/>
      <c r="AT157" s="2"/>
      <c r="AU157" s="2"/>
      <c r="AV157" s="2"/>
      <c r="AW157" s="2"/>
      <c r="AX157" s="2"/>
    </row>
    <row r="158" spans="1:50">
      <c r="A158" s="691" t="s">
        <v>317</v>
      </c>
      <c r="B158" s="692"/>
      <c r="C158" s="692"/>
      <c r="D158" s="692"/>
      <c r="E158" s="347"/>
      <c r="F158" s="692" t="s">
        <v>317</v>
      </c>
      <c r="G158" s="692"/>
      <c r="H158" s="692"/>
      <c r="I158" s="693"/>
      <c r="AS158" s="2"/>
      <c r="AT158" s="2"/>
      <c r="AU158" s="2"/>
      <c r="AV158" s="2"/>
      <c r="AW158" s="2"/>
      <c r="AX158" s="2"/>
    </row>
    <row r="159" spans="1:50">
      <c r="A159" s="33" t="s">
        <v>133</v>
      </c>
      <c r="B159" s="34" t="s">
        <v>142</v>
      </c>
      <c r="C159" s="34" t="s">
        <v>134</v>
      </c>
      <c r="D159" s="34" t="s">
        <v>24</v>
      </c>
      <c r="E159" s="347"/>
      <c r="F159" s="34" t="s">
        <v>133</v>
      </c>
      <c r="G159" s="34" t="s">
        <v>142</v>
      </c>
      <c r="H159" s="34" t="s">
        <v>134</v>
      </c>
      <c r="I159" s="35" t="s">
        <v>101</v>
      </c>
      <c r="AS159" s="2"/>
      <c r="AT159" s="2"/>
      <c r="AU159" s="2"/>
      <c r="AV159" s="2"/>
      <c r="AW159" s="2"/>
      <c r="AX159" s="2"/>
    </row>
    <row r="160" spans="1:50">
      <c r="A160" s="180">
        <v>0</v>
      </c>
      <c r="B160" s="182">
        <v>1</v>
      </c>
      <c r="C160" s="182">
        <v>26</v>
      </c>
      <c r="D160" s="183">
        <f>A160*B160*C160</f>
        <v>0</v>
      </c>
      <c r="E160" s="348" t="s">
        <v>583</v>
      </c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AS160" s="2"/>
      <c r="AT160" s="2"/>
      <c r="AU160" s="2"/>
      <c r="AV160" s="2"/>
      <c r="AW160" s="2"/>
      <c r="AX160" s="2"/>
    </row>
    <row r="161" spans="1:50">
      <c r="A161" s="185"/>
      <c r="B161" s="186"/>
      <c r="C161" s="186"/>
      <c r="D161" s="187"/>
      <c r="E161" s="347"/>
      <c r="F161" s="188"/>
      <c r="G161" s="79"/>
      <c r="H161" s="79"/>
      <c r="I161" s="82"/>
      <c r="AS161" s="2"/>
      <c r="AT161" s="2"/>
      <c r="AU161" s="2"/>
      <c r="AV161" s="2"/>
      <c r="AW161" s="2"/>
      <c r="AX161" s="2"/>
    </row>
    <row r="162" spans="1:50" ht="18.649999999999999" customHeight="1">
      <c r="A162" s="33" t="s">
        <v>33</v>
      </c>
      <c r="B162" s="34" t="s">
        <v>3</v>
      </c>
      <c r="C162" s="34" t="s">
        <v>24</v>
      </c>
      <c r="D162" s="41"/>
      <c r="E162" s="347"/>
      <c r="F162" s="34" t="s">
        <v>24</v>
      </c>
      <c r="G162" s="34"/>
      <c r="H162" s="34" t="s">
        <v>24</v>
      </c>
      <c r="I162" s="43"/>
      <c r="AS162" s="2"/>
      <c r="AT162" s="2"/>
      <c r="AU162" s="2"/>
      <c r="AV162" s="2"/>
      <c r="AW162" s="2"/>
      <c r="AX162" s="2"/>
    </row>
    <row r="163" spans="1:50">
      <c r="A163" s="44">
        <f>I31</f>
        <v>481.09090909090907</v>
      </c>
      <c r="B163" s="34">
        <v>6</v>
      </c>
      <c r="C163" s="38">
        <v>0</v>
      </c>
      <c r="D163" s="41"/>
      <c r="E163" s="347"/>
      <c r="F163" s="38">
        <f>I160</f>
        <v>348.8329</v>
      </c>
      <c r="G163" s="45">
        <v>0.2</v>
      </c>
      <c r="H163" s="38">
        <f>F163*G163</f>
        <v>69.766580000000005</v>
      </c>
      <c r="I163" s="43"/>
      <c r="AS163" s="2"/>
      <c r="AT163" s="2"/>
      <c r="AU163" s="2"/>
      <c r="AV163" s="2"/>
      <c r="AW163" s="2"/>
      <c r="AX163" s="2"/>
    </row>
    <row r="164" spans="1:50">
      <c r="A164" s="46"/>
      <c r="B164" s="40"/>
      <c r="C164" s="40"/>
      <c r="D164" s="41"/>
      <c r="E164" s="347"/>
      <c r="F164" s="42"/>
      <c r="G164" s="40"/>
      <c r="H164" s="40"/>
      <c r="I164" s="43"/>
      <c r="AS164" s="2"/>
      <c r="AT164" s="2"/>
      <c r="AU164" s="2"/>
      <c r="AV164" s="2"/>
      <c r="AW164" s="2"/>
      <c r="AX164" s="2"/>
    </row>
    <row r="165" spans="1:50" ht="14.5" thickBot="1">
      <c r="A165" s="47" t="s">
        <v>135</v>
      </c>
      <c r="B165" s="48"/>
      <c r="C165" s="49"/>
      <c r="D165" s="41"/>
      <c r="E165" s="347"/>
      <c r="F165" s="48" t="s">
        <v>136</v>
      </c>
      <c r="G165" s="48"/>
      <c r="H165" s="49"/>
      <c r="I165" s="43"/>
      <c r="AS165" s="2"/>
      <c r="AT165" s="2"/>
      <c r="AU165" s="2"/>
      <c r="AV165" s="2"/>
      <c r="AW165" s="2"/>
      <c r="AX165" s="2"/>
    </row>
    <row r="166" spans="1:50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6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AS166" s="2"/>
      <c r="AT166" s="2"/>
      <c r="AU166" s="2"/>
      <c r="AV166" s="2"/>
      <c r="AW166" s="2"/>
      <c r="AX166" s="2"/>
    </row>
    <row r="167" spans="1:50" s="84" customFormat="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50" s="84" customFormat="1"/>
    <row r="169" spans="1:50" s="84" customFormat="1"/>
    <row r="170" spans="1:50" s="84" customFormat="1"/>
    <row r="171" spans="1:50" s="84" customFormat="1"/>
    <row r="172" spans="1:50" s="84" customFormat="1"/>
    <row r="173" spans="1:50" s="84" customFormat="1"/>
    <row r="174" spans="1:50" s="84" customFormat="1"/>
    <row r="175" spans="1:50" s="84" customFormat="1"/>
    <row r="176" spans="1:50" s="84" customFormat="1"/>
    <row r="177" s="84" customFormat="1"/>
    <row r="178" s="84" customFormat="1"/>
    <row r="179" s="84" customFormat="1"/>
    <row r="180" s="84" customFormat="1"/>
    <row r="181" s="84" customFormat="1"/>
    <row r="182" s="84" customFormat="1"/>
    <row r="183" s="84" customFormat="1"/>
    <row r="184" s="84" customFormat="1"/>
    <row r="185" s="84" customFormat="1"/>
    <row r="186" s="84" customFormat="1"/>
    <row r="187" s="84" customFormat="1"/>
    <row r="188" s="84" customFormat="1"/>
    <row r="189" s="84" customFormat="1"/>
    <row r="190" s="84" customFormat="1"/>
    <row r="191" s="84" customFormat="1"/>
    <row r="192" s="84" customFormat="1"/>
    <row r="193" s="84" customFormat="1"/>
    <row r="194" s="84" customFormat="1"/>
    <row r="195" s="84" customFormat="1"/>
    <row r="196" s="84" customFormat="1"/>
    <row r="197" s="84" customFormat="1"/>
    <row r="198" s="84" customFormat="1"/>
    <row r="199" s="84" customFormat="1"/>
    <row r="200" s="84" customFormat="1"/>
    <row r="201" s="84" customFormat="1"/>
    <row r="202" s="84" customFormat="1"/>
    <row r="203" s="84" customFormat="1"/>
    <row r="204" s="84" customFormat="1"/>
    <row r="205" s="84" customFormat="1"/>
    <row r="206" s="84" customFormat="1"/>
    <row r="207" s="84" customFormat="1"/>
    <row r="208" s="84" customFormat="1"/>
    <row r="209" s="84" customFormat="1"/>
    <row r="210" s="84" customFormat="1"/>
    <row r="211" s="84" customFormat="1"/>
    <row r="212" s="84" customFormat="1"/>
    <row r="213" s="84" customFormat="1"/>
    <row r="214" s="84" customFormat="1"/>
    <row r="215" s="84" customFormat="1"/>
    <row r="216" s="84" customFormat="1"/>
    <row r="217" s="84" customFormat="1"/>
    <row r="218" s="84" customFormat="1"/>
    <row r="219" s="84" customFormat="1"/>
    <row r="220" s="84" customFormat="1"/>
    <row r="221" s="84" customFormat="1"/>
    <row r="222" s="84" customFormat="1"/>
    <row r="223" s="84" customFormat="1"/>
    <row r="224" s="84" customFormat="1"/>
    <row r="225" s="84" customFormat="1"/>
    <row r="226" s="84" customFormat="1"/>
    <row r="227" s="84" customFormat="1"/>
    <row r="228" s="84" customFormat="1"/>
    <row r="229" s="84" customFormat="1"/>
    <row r="230" s="84" customFormat="1"/>
    <row r="231" s="84" customFormat="1"/>
    <row r="232" s="84" customFormat="1"/>
    <row r="233" s="84" customFormat="1"/>
    <row r="234" s="84" customFormat="1"/>
    <row r="235" s="84" customFormat="1"/>
    <row r="236" s="84" customFormat="1"/>
    <row r="237" s="84" customFormat="1"/>
    <row r="238" s="84" customFormat="1"/>
    <row r="239" s="84" customFormat="1"/>
    <row r="240" s="84" customFormat="1"/>
    <row r="241" s="84" customFormat="1"/>
    <row r="242" s="84" customFormat="1"/>
    <row r="243" s="84" customFormat="1"/>
    <row r="244" s="84" customFormat="1"/>
    <row r="245" s="84" customFormat="1"/>
    <row r="246" s="84" customFormat="1"/>
    <row r="247" s="84" customFormat="1"/>
    <row r="248" s="84" customFormat="1"/>
    <row r="249" s="84" customFormat="1"/>
    <row r="250" s="84" customFormat="1"/>
    <row r="251" s="84" customFormat="1"/>
    <row r="252" s="84" customFormat="1"/>
    <row r="253" s="84" customFormat="1"/>
    <row r="254" s="84" customFormat="1"/>
    <row r="255" s="84" customFormat="1"/>
    <row r="256" s="84" customFormat="1"/>
    <row r="257" s="84" customFormat="1"/>
    <row r="258" s="84" customFormat="1"/>
    <row r="259" s="84" customFormat="1"/>
    <row r="260" s="84" customFormat="1"/>
    <row r="261" s="84" customFormat="1"/>
    <row r="262" s="84" customFormat="1"/>
    <row r="263" s="84" customFormat="1"/>
    <row r="264" s="84" customFormat="1"/>
    <row r="265" s="84" customFormat="1"/>
    <row r="266" s="84" customFormat="1"/>
    <row r="267" s="84" customFormat="1"/>
    <row r="268" s="84" customFormat="1"/>
    <row r="269" s="84" customFormat="1"/>
    <row r="270" s="84" customFormat="1"/>
    <row r="271" s="84" customFormat="1"/>
    <row r="272" s="84" customFormat="1"/>
    <row r="273" s="84" customFormat="1"/>
    <row r="274" s="84" customFormat="1"/>
    <row r="275" s="84" customFormat="1"/>
    <row r="276" s="84" customFormat="1"/>
    <row r="277" s="84" customFormat="1"/>
    <row r="278" s="84" customFormat="1"/>
    <row r="279" s="84" customFormat="1"/>
    <row r="280" s="84" customFormat="1"/>
    <row r="281" s="84" customFormat="1"/>
    <row r="282" s="84" customFormat="1"/>
    <row r="283" s="84" customFormat="1"/>
    <row r="284" s="84" customFormat="1"/>
    <row r="285" s="84" customFormat="1"/>
    <row r="286" s="84" customFormat="1"/>
    <row r="287" s="84" customFormat="1"/>
    <row r="288" s="84" customFormat="1"/>
    <row r="289" s="84" customFormat="1"/>
    <row r="290" s="84" customFormat="1"/>
    <row r="291" s="84" customFormat="1"/>
    <row r="292" s="84" customFormat="1"/>
    <row r="293" s="84" customFormat="1"/>
    <row r="294" s="84" customFormat="1"/>
    <row r="295" s="84" customFormat="1"/>
    <row r="296" s="84" customFormat="1"/>
    <row r="297" s="84" customFormat="1"/>
    <row r="298" s="84" customFormat="1"/>
    <row r="299" s="84" customFormat="1"/>
    <row r="300" s="84" customFormat="1"/>
    <row r="301" s="84" customFormat="1"/>
    <row r="302" s="84" customFormat="1"/>
    <row r="303" s="84" customFormat="1"/>
    <row r="304" s="84" customFormat="1"/>
    <row r="305" s="84" customFormat="1"/>
    <row r="306" s="84" customFormat="1"/>
    <row r="307" s="84" customFormat="1"/>
    <row r="308" s="84" customFormat="1"/>
    <row r="309" s="84" customFormat="1"/>
    <row r="310" s="84" customFormat="1"/>
    <row r="311" s="84" customFormat="1"/>
    <row r="312" s="84" customFormat="1"/>
    <row r="313" s="84" customFormat="1"/>
    <row r="314" s="84" customFormat="1"/>
    <row r="315" s="84" customFormat="1"/>
    <row r="316" s="84" customFormat="1"/>
    <row r="317" s="84" customFormat="1"/>
    <row r="318" s="84" customFormat="1"/>
    <row r="319" s="84" customFormat="1"/>
    <row r="320" s="84" customFormat="1"/>
    <row r="321" s="84" customFormat="1"/>
    <row r="322" s="84" customFormat="1"/>
    <row r="323" s="84" customFormat="1"/>
    <row r="324" s="84" customFormat="1"/>
    <row r="325" s="84" customFormat="1"/>
    <row r="326" s="84" customFormat="1"/>
    <row r="327" s="84" customFormat="1"/>
    <row r="328" s="84" customFormat="1"/>
    <row r="329" s="84" customFormat="1"/>
    <row r="330" s="84" customFormat="1"/>
    <row r="331" s="84" customFormat="1"/>
    <row r="332" s="84" customFormat="1"/>
    <row r="333" s="84" customFormat="1"/>
    <row r="334" s="84" customFormat="1"/>
    <row r="335" s="84" customFormat="1"/>
    <row r="336" s="84" customFormat="1"/>
    <row r="337" s="84" customFormat="1"/>
    <row r="338" s="84" customFormat="1"/>
    <row r="339" s="84" customFormat="1"/>
    <row r="340" s="84" customFormat="1"/>
    <row r="341" s="84" customFormat="1"/>
    <row r="342" s="84" customFormat="1"/>
    <row r="343" s="84" customFormat="1"/>
    <row r="344" s="84" customFormat="1"/>
    <row r="345" s="84" customFormat="1"/>
    <row r="346" s="84" customFormat="1"/>
    <row r="347" s="84" customFormat="1"/>
    <row r="348" s="84" customFormat="1"/>
    <row r="349" s="84" customFormat="1"/>
    <row r="350" s="84" customFormat="1"/>
    <row r="351" s="84" customFormat="1"/>
    <row r="352" s="84" customFormat="1"/>
    <row r="353" s="84" customFormat="1"/>
    <row r="354" s="84" customFormat="1"/>
    <row r="355" s="84" customFormat="1"/>
    <row r="356" s="84" customFormat="1"/>
    <row r="357" s="84" customFormat="1"/>
    <row r="358" s="84" customFormat="1"/>
    <row r="359" s="84" customFormat="1"/>
    <row r="360" s="84" customFormat="1"/>
    <row r="361" s="84" customFormat="1"/>
    <row r="362" s="84" customFormat="1"/>
    <row r="363" s="84" customFormat="1"/>
    <row r="364" s="84" customFormat="1"/>
    <row r="365" s="84" customFormat="1"/>
    <row r="366" s="84" customFormat="1"/>
    <row r="367" s="84" customFormat="1"/>
    <row r="368" s="84" customFormat="1"/>
    <row r="369" s="84" customFormat="1"/>
    <row r="370" s="84" customFormat="1"/>
    <row r="371" s="84" customFormat="1"/>
    <row r="372" s="84" customFormat="1"/>
    <row r="373" s="84" customFormat="1"/>
    <row r="374" s="84" customFormat="1"/>
    <row r="375" s="84" customFormat="1"/>
    <row r="376" s="84" customFormat="1"/>
    <row r="377" s="84" customFormat="1"/>
    <row r="378" s="84" customFormat="1"/>
    <row r="379" s="84" customFormat="1"/>
    <row r="380" s="84" customFormat="1"/>
    <row r="381" s="84" customFormat="1"/>
    <row r="382" s="84" customFormat="1"/>
    <row r="383" s="84" customFormat="1"/>
    <row r="384" s="84" customFormat="1"/>
    <row r="385" s="84" customFormat="1"/>
    <row r="386" s="84" customFormat="1"/>
    <row r="387" s="84" customFormat="1"/>
    <row r="388" s="84" customFormat="1"/>
    <row r="389" s="84" customFormat="1"/>
    <row r="390" s="84" customFormat="1"/>
    <row r="391" s="84" customFormat="1"/>
    <row r="392" s="84" customFormat="1"/>
    <row r="393" s="84" customFormat="1"/>
    <row r="394" s="84" customFormat="1"/>
    <row r="395" s="84" customFormat="1"/>
    <row r="396" s="84" customFormat="1"/>
    <row r="397" s="84" customFormat="1"/>
    <row r="398" s="84" customFormat="1"/>
    <row r="399" s="84" customFormat="1"/>
    <row r="400" s="84" customFormat="1"/>
    <row r="401" s="84" customFormat="1"/>
    <row r="402" s="84" customFormat="1"/>
    <row r="403" s="84" customFormat="1"/>
    <row r="404" s="84" customFormat="1"/>
    <row r="405" s="84" customFormat="1"/>
    <row r="406" s="84" customFormat="1"/>
    <row r="407" s="84" customFormat="1"/>
    <row r="408" s="84" customFormat="1"/>
    <row r="409" s="84" customFormat="1"/>
    <row r="410" s="84" customFormat="1"/>
    <row r="411" s="84" customFormat="1"/>
    <row r="412" s="84" customFormat="1"/>
    <row r="413" s="84" customFormat="1"/>
    <row r="414" s="84" customFormat="1"/>
    <row r="415" s="84" customFormat="1"/>
    <row r="416" s="84" customFormat="1"/>
    <row r="417" s="84" customFormat="1"/>
    <row r="418" s="84" customFormat="1"/>
    <row r="419" s="84" customFormat="1"/>
    <row r="420" s="84" customFormat="1"/>
    <row r="421" s="84" customFormat="1"/>
    <row r="422" s="84" customFormat="1"/>
    <row r="423" s="84" customFormat="1"/>
    <row r="424" s="84" customFormat="1"/>
    <row r="425" s="84" customFormat="1"/>
    <row r="426" s="84" customFormat="1"/>
    <row r="427" s="84" customFormat="1"/>
    <row r="428" s="84" customFormat="1"/>
    <row r="429" s="84" customFormat="1"/>
    <row r="430" s="84" customFormat="1"/>
    <row r="431" s="84" customFormat="1"/>
    <row r="432" s="84" customFormat="1"/>
    <row r="433" s="84" customFormat="1"/>
    <row r="434" s="84" customFormat="1"/>
    <row r="435" s="84" customFormat="1"/>
    <row r="436" s="84" customFormat="1"/>
    <row r="437" s="84" customFormat="1"/>
    <row r="438" s="84" customFormat="1"/>
    <row r="439" s="84" customFormat="1"/>
    <row r="440" s="84" customFormat="1"/>
    <row r="441" s="84" customFormat="1"/>
    <row r="442" s="84" customFormat="1"/>
    <row r="443" s="84" customFormat="1"/>
    <row r="444" s="84" customFormat="1"/>
    <row r="445" s="84" customFormat="1"/>
    <row r="446" s="84" customFormat="1"/>
    <row r="447" s="84" customFormat="1"/>
    <row r="448" s="84" customFormat="1"/>
    <row r="449" s="84" customFormat="1"/>
    <row r="450" s="84" customFormat="1"/>
    <row r="451" s="84" customFormat="1"/>
    <row r="452" s="84" customFormat="1"/>
    <row r="453" s="84" customFormat="1"/>
    <row r="454" s="84" customFormat="1"/>
    <row r="455" s="84" customFormat="1"/>
    <row r="456" s="84" customFormat="1"/>
    <row r="457" s="84" customFormat="1"/>
    <row r="458" s="84" customFormat="1"/>
    <row r="459" s="84" customFormat="1"/>
    <row r="460" s="84" customFormat="1"/>
    <row r="461" s="84" customFormat="1"/>
    <row r="462" s="84" customFormat="1"/>
    <row r="463" s="84" customFormat="1"/>
    <row r="464" s="84" customFormat="1"/>
    <row r="465" s="84" customFormat="1"/>
    <row r="466" s="84" customFormat="1"/>
    <row r="467" s="84" customFormat="1"/>
    <row r="468" s="84" customFormat="1"/>
    <row r="469" s="84" customFormat="1"/>
    <row r="470" s="84" customFormat="1"/>
    <row r="471" s="84" customFormat="1"/>
    <row r="472" s="84" customFormat="1"/>
    <row r="473" s="84" customFormat="1"/>
    <row r="474" s="84" customFormat="1"/>
    <row r="475" s="84" customFormat="1"/>
    <row r="476" s="84" customFormat="1"/>
    <row r="477" s="84" customFormat="1"/>
    <row r="478" s="84" customFormat="1"/>
    <row r="479" s="84" customFormat="1"/>
    <row r="480" s="84" customFormat="1"/>
    <row r="481" s="84" customFormat="1"/>
    <row r="482" s="84" customFormat="1"/>
    <row r="483" s="84" customFormat="1"/>
    <row r="484" s="84" customFormat="1"/>
    <row r="485" s="84" customFormat="1"/>
    <row r="486" s="84" customFormat="1"/>
    <row r="487" s="84" customFormat="1"/>
    <row r="488" s="84" customFormat="1"/>
    <row r="489" s="84" customFormat="1"/>
    <row r="490" s="84" customFormat="1"/>
    <row r="491" s="84" customFormat="1"/>
    <row r="492" s="84" customFormat="1"/>
    <row r="493" s="84" customFormat="1"/>
    <row r="494" s="84" customFormat="1"/>
    <row r="495" s="84" customFormat="1"/>
    <row r="496" s="84" customFormat="1"/>
    <row r="497" s="84" customFormat="1"/>
    <row r="498" s="84" customFormat="1"/>
    <row r="499" s="84" customFormat="1"/>
    <row r="500" s="84" customFormat="1"/>
    <row r="501" s="84" customFormat="1"/>
    <row r="502" s="84" customFormat="1"/>
    <row r="503" s="84" customFormat="1"/>
    <row r="504" s="84" customFormat="1"/>
    <row r="505" s="84" customFormat="1"/>
    <row r="506" s="84" customFormat="1"/>
    <row r="507" s="84" customFormat="1"/>
    <row r="508" s="84" customFormat="1"/>
    <row r="509" s="84" customFormat="1"/>
    <row r="510" s="84" customFormat="1"/>
    <row r="511" s="84" customFormat="1"/>
    <row r="512" s="84" customFormat="1"/>
    <row r="513" s="84" customFormat="1"/>
    <row r="514" s="84" customFormat="1"/>
    <row r="515" s="84" customFormat="1"/>
    <row r="516" s="84" customFormat="1"/>
    <row r="517" s="84" customFormat="1"/>
    <row r="518" s="84" customFormat="1"/>
    <row r="519" s="84" customFormat="1"/>
    <row r="520" s="84" customFormat="1"/>
    <row r="521" s="84" customFormat="1"/>
    <row r="522" s="84" customFormat="1"/>
    <row r="523" s="84" customFormat="1"/>
    <row r="524" s="84" customFormat="1"/>
    <row r="525" s="84" customFormat="1"/>
    <row r="526" s="84" customFormat="1"/>
    <row r="527" s="84" customFormat="1"/>
    <row r="528" s="84" customFormat="1"/>
    <row r="529" s="84" customFormat="1"/>
    <row r="530" s="84" customFormat="1"/>
    <row r="531" s="84" customFormat="1"/>
    <row r="532" s="84" customFormat="1"/>
    <row r="533" s="84" customFormat="1"/>
    <row r="534" s="84" customFormat="1"/>
    <row r="535" s="84" customFormat="1"/>
    <row r="536" s="84" customFormat="1"/>
    <row r="537" s="84" customFormat="1"/>
    <row r="538" s="84" customFormat="1"/>
    <row r="539" s="84" customFormat="1"/>
    <row r="540" s="84" customFormat="1"/>
    <row r="541" s="84" customFormat="1"/>
    <row r="542" s="84" customFormat="1"/>
    <row r="543" s="84" customFormat="1"/>
    <row r="544" s="84" customFormat="1"/>
    <row r="545" s="84" customFormat="1"/>
    <row r="546" s="84" customFormat="1"/>
    <row r="547" s="84" customFormat="1"/>
    <row r="548" s="84" customFormat="1"/>
    <row r="549" s="84" customFormat="1"/>
    <row r="550" s="84" customFormat="1"/>
    <row r="551" s="84" customFormat="1"/>
    <row r="552" s="84" customFormat="1"/>
    <row r="553" s="84" customFormat="1"/>
    <row r="554" s="84" customFormat="1"/>
    <row r="555" s="84" customFormat="1"/>
    <row r="556" s="84" customFormat="1"/>
    <row r="557" s="84" customFormat="1"/>
    <row r="558" s="84" customFormat="1"/>
    <row r="559" s="84" customFormat="1"/>
    <row r="560" s="84" customFormat="1"/>
    <row r="561" s="84" customFormat="1"/>
    <row r="562" s="84" customFormat="1"/>
    <row r="563" s="84" customFormat="1"/>
    <row r="564" s="84" customFormat="1"/>
    <row r="565" s="84" customFormat="1"/>
    <row r="566" s="84" customFormat="1"/>
    <row r="567" s="84" customFormat="1"/>
    <row r="568" s="84" customFormat="1"/>
    <row r="569" s="84" customFormat="1"/>
    <row r="570" s="84" customFormat="1"/>
    <row r="571" s="84" customFormat="1"/>
    <row r="572" s="84" customFormat="1"/>
    <row r="573" s="84" customFormat="1"/>
    <row r="574" s="84" customFormat="1"/>
    <row r="575" s="84" customFormat="1"/>
    <row r="576" s="84" customFormat="1"/>
    <row r="577" s="84" customFormat="1"/>
    <row r="578" s="84" customFormat="1"/>
    <row r="579" s="84" customFormat="1"/>
    <row r="580" s="84" customFormat="1"/>
    <row r="581" s="84" customFormat="1"/>
    <row r="582" s="84" customFormat="1"/>
    <row r="583" s="84" customFormat="1"/>
    <row r="584" s="84" customFormat="1"/>
    <row r="585" s="84" customFormat="1"/>
    <row r="586" s="84" customFormat="1"/>
    <row r="587" s="84" customFormat="1"/>
    <row r="588" s="84" customFormat="1"/>
    <row r="589" s="84" customFormat="1"/>
    <row r="590" s="84" customFormat="1"/>
    <row r="591" s="84" customFormat="1"/>
    <row r="592" s="84" customFormat="1"/>
    <row r="593" s="84" customFormat="1"/>
    <row r="594" s="84" customFormat="1"/>
    <row r="595" s="84" customFormat="1"/>
    <row r="596" s="84" customFormat="1"/>
    <row r="597" s="84" customFormat="1"/>
    <row r="598" s="84" customFormat="1"/>
    <row r="599" s="84" customFormat="1"/>
    <row r="600" s="84" customFormat="1"/>
    <row r="601" s="84" customFormat="1"/>
    <row r="602" s="84" customFormat="1"/>
    <row r="603" s="84" customFormat="1"/>
    <row r="604" s="84" customFormat="1"/>
    <row r="605" s="84" customFormat="1"/>
    <row r="606" s="84" customFormat="1"/>
    <row r="607" s="84" customFormat="1"/>
    <row r="608" s="84" customFormat="1"/>
    <row r="609" s="84" customFormat="1"/>
    <row r="610" s="84" customFormat="1"/>
    <row r="611" s="84" customFormat="1"/>
    <row r="612" s="84" customFormat="1"/>
    <row r="613" s="84" customFormat="1"/>
    <row r="614" s="84" customFormat="1"/>
    <row r="615" s="84" customFormat="1"/>
    <row r="616" s="84" customFormat="1"/>
    <row r="617" s="84" customFormat="1"/>
    <row r="618" s="84" customFormat="1"/>
    <row r="619" s="84" customFormat="1"/>
    <row r="620" s="84" customFormat="1"/>
    <row r="621" s="84" customFormat="1"/>
    <row r="622" s="84" customFormat="1"/>
    <row r="623" s="84" customFormat="1"/>
    <row r="624" s="84" customFormat="1"/>
    <row r="625" s="84" customFormat="1"/>
    <row r="626" s="84" customFormat="1"/>
    <row r="627" s="84" customFormat="1"/>
    <row r="628" s="84" customFormat="1"/>
    <row r="629" s="84" customFormat="1"/>
    <row r="630" s="84" customFormat="1"/>
    <row r="631" s="84" customFormat="1"/>
    <row r="632" s="84" customFormat="1"/>
    <row r="633" s="84" customFormat="1"/>
    <row r="634" s="84" customFormat="1"/>
    <row r="635" s="84" customFormat="1"/>
    <row r="636" s="84" customFormat="1"/>
    <row r="637" s="84" customFormat="1"/>
    <row r="638" s="84" customFormat="1"/>
    <row r="639" s="84" customFormat="1"/>
    <row r="640" s="84" customFormat="1"/>
    <row r="641" s="84" customFormat="1"/>
    <row r="642" s="84" customFormat="1"/>
    <row r="643" s="84" customFormat="1"/>
    <row r="644" s="84" customFormat="1"/>
    <row r="645" s="84" customFormat="1"/>
    <row r="646" s="84" customFormat="1"/>
    <row r="647" s="84" customFormat="1"/>
    <row r="648" s="84" customFormat="1"/>
    <row r="649" s="84" customFormat="1"/>
    <row r="650" s="84" customFormat="1"/>
    <row r="651" s="84" customFormat="1"/>
    <row r="652" s="84" customFormat="1"/>
    <row r="653" s="84" customFormat="1"/>
    <row r="654" s="84" customFormat="1"/>
    <row r="655" s="84" customFormat="1"/>
    <row r="656" s="84" customFormat="1"/>
    <row r="657" s="84" customFormat="1"/>
    <row r="658" s="84" customFormat="1"/>
    <row r="659" s="84" customFormat="1"/>
    <row r="660" s="84" customFormat="1"/>
    <row r="661" s="84" customFormat="1"/>
    <row r="662" s="84" customFormat="1"/>
    <row r="663" s="84" customFormat="1"/>
    <row r="664" s="84" customFormat="1"/>
    <row r="665" s="84" customFormat="1"/>
    <row r="666" s="84" customFormat="1"/>
    <row r="667" s="84" customFormat="1"/>
    <row r="668" s="84" customFormat="1"/>
    <row r="669" s="84" customFormat="1"/>
    <row r="670" s="84" customFormat="1"/>
    <row r="671" s="84" customFormat="1"/>
    <row r="672" s="84" customFormat="1"/>
    <row r="673" s="84" customFormat="1"/>
    <row r="674" s="84" customFormat="1"/>
    <row r="675" s="84" customFormat="1"/>
    <row r="676" s="84" customFormat="1"/>
    <row r="677" s="84" customFormat="1"/>
    <row r="678" s="84" customFormat="1"/>
    <row r="679" s="84" customFormat="1"/>
    <row r="680" s="84" customFormat="1"/>
    <row r="681" s="84" customFormat="1"/>
    <row r="682" s="84" customFormat="1"/>
    <row r="683" s="84" customFormat="1"/>
    <row r="684" s="84" customFormat="1"/>
    <row r="685" s="84" customFormat="1"/>
    <row r="686" s="84" customFormat="1"/>
    <row r="687" s="84" customFormat="1"/>
    <row r="688" s="84" customFormat="1"/>
    <row r="689" s="84" customFormat="1"/>
    <row r="690" s="84" customFormat="1"/>
    <row r="691" s="84" customFormat="1"/>
    <row r="692" s="84" customFormat="1"/>
    <row r="693" s="84" customFormat="1"/>
    <row r="694" s="84" customFormat="1"/>
    <row r="695" s="84" customFormat="1"/>
    <row r="696" s="84" customFormat="1"/>
    <row r="697" s="84" customFormat="1"/>
    <row r="698" s="84" customFormat="1"/>
    <row r="699" s="84" customFormat="1"/>
    <row r="700" s="84" customFormat="1"/>
    <row r="701" s="84" customFormat="1"/>
    <row r="702" s="84" customFormat="1"/>
    <row r="703" s="84" customFormat="1"/>
    <row r="704" s="84" customFormat="1"/>
    <row r="705" s="84" customFormat="1"/>
    <row r="706" s="84" customFormat="1"/>
    <row r="707" s="84" customFormat="1"/>
    <row r="708" s="84" customFormat="1"/>
    <row r="709" s="84" customFormat="1"/>
    <row r="710" s="84" customFormat="1"/>
    <row r="711" s="84" customFormat="1"/>
    <row r="712" s="84" customFormat="1"/>
    <row r="713" s="84" customFormat="1"/>
  </sheetData>
  <customSheetViews>
    <customSheetView guid="{7D072CBA-4F2D-4FAE-88D9-B6A678BA20E4}" showPageBreaks="1" printArea="1" view="pageBreakPreview">
      <selection activeCell="J15" sqref="J1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15" sqref="J15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ilha23">
    <tabColor rgb="FF92D050"/>
  </sheetPr>
  <dimension ref="A1:AA169"/>
  <sheetViews>
    <sheetView view="pageBreakPreview" zoomScaleNormal="96" zoomScaleSheetLayoutView="100" workbookViewId="0">
      <selection activeCell="M30" sqref="M30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341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27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27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27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27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27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27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spans="1:27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>
      <c r="A28" s="143"/>
      <c r="B28" s="3"/>
      <c r="C28" s="3"/>
      <c r="D28" s="3"/>
      <c r="E28" s="3"/>
      <c r="F28" s="3"/>
      <c r="G28" s="3"/>
      <c r="H28" s="3"/>
      <c r="I28" s="6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spans="1:27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</row>
    <row r="34" spans="1:27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>
      <c r="A35" s="9" t="s">
        <v>15</v>
      </c>
      <c r="B35" s="645" t="s">
        <v>43</v>
      </c>
      <c r="C35" s="645"/>
      <c r="D35" s="645"/>
      <c r="E35" s="645"/>
      <c r="F35" s="645"/>
      <c r="G35" s="645"/>
      <c r="H35" s="178">
        <v>0</v>
      </c>
      <c r="I35" s="29">
        <v>0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27">
      <c r="A36" s="9" t="s">
        <v>16</v>
      </c>
      <c r="B36" s="645" t="s">
        <v>44</v>
      </c>
      <c r="C36" s="645"/>
      <c r="D36" s="645"/>
      <c r="E36" s="645"/>
      <c r="F36" s="645"/>
      <c r="G36" s="645"/>
      <c r="H36" s="178">
        <v>0</v>
      </c>
      <c r="I36" s="29">
        <v>0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>
      <c r="A37" s="9" t="s">
        <v>17</v>
      </c>
      <c r="B37" s="645" t="s">
        <v>4</v>
      </c>
      <c r="C37" s="645"/>
      <c r="D37" s="645"/>
      <c r="E37" s="645"/>
      <c r="F37" s="645"/>
      <c r="G37" s="645"/>
      <c r="H37" s="178">
        <v>0</v>
      </c>
      <c r="I37" s="29">
        <v>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>
      <c r="A39" s="95"/>
      <c r="B39" s="95"/>
      <c r="C39" s="95"/>
      <c r="D39" s="95"/>
      <c r="E39" s="95"/>
      <c r="F39" s="95"/>
      <c r="G39" s="95"/>
      <c r="H39" s="95"/>
      <c r="I39" s="11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</row>
    <row r="42" spans="1:27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>
      <c r="A46" s="95"/>
      <c r="B46" s="95"/>
      <c r="C46" s="95"/>
      <c r="D46" s="95"/>
      <c r="E46" s="95"/>
      <c r="F46" s="95"/>
      <c r="G46" s="95"/>
      <c r="H46" s="15"/>
      <c r="I46" s="1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</row>
    <row r="48" spans="1:27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27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</row>
    <row r="54" spans="1:27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</row>
    <row r="56" spans="1:27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>
      <c r="A58" s="16"/>
      <c r="B58" s="16"/>
      <c r="C58" s="16"/>
      <c r="D58" s="16"/>
      <c r="E58" s="16"/>
      <c r="F58" s="16"/>
      <c r="G58" s="16"/>
      <c r="H58" s="17"/>
      <c r="I58" s="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5.95</v>
      </c>
      <c r="I61" s="70">
        <f>C166</f>
        <v>125.83454545454548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</row>
    <row r="62" spans="1:27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</row>
    <row r="64" spans="1:27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</row>
    <row r="68" spans="1:27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</row>
    <row r="72" spans="1:27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548.4008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</row>
    <row r="74" spans="1:27">
      <c r="A74" s="95"/>
      <c r="B74" s="95"/>
      <c r="C74" s="95"/>
      <c r="D74" s="95"/>
      <c r="E74" s="95"/>
      <c r="F74" s="95"/>
      <c r="G74" s="95"/>
      <c r="H74" s="95"/>
      <c r="I74" s="11"/>
    </row>
    <row r="75" spans="1:27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27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27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27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27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548.4008</v>
      </c>
    </row>
    <row r="80" spans="1:27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798.56060000000002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109.28851666666665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21.857703333333333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0.46652732271413327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0.24043473666666665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1.8717975815387906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133.72489999999999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133.72489999999999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133.72489999999999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82.91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118.23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12.947826620246385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59.759199785752543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59.759199785752543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333.6062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798.56060000000002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133.72489999999999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27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1658.3670999999999</v>
      </c>
    </row>
    <row r="146" spans="1:27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333.6062</v>
      </c>
    </row>
    <row r="147" spans="1:27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1991.9733000000001</v>
      </c>
    </row>
    <row r="148" spans="1:27">
      <c r="A148" s="5"/>
      <c r="B148" s="5"/>
      <c r="C148" s="5"/>
      <c r="D148" s="5"/>
      <c r="E148" s="5"/>
      <c r="F148" s="5"/>
      <c r="G148" s="5"/>
      <c r="H148" s="5"/>
      <c r="I148" s="69"/>
    </row>
    <row r="149" spans="1:27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27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27" ht="27.65" customHeight="1">
      <c r="A151" s="681" t="str">
        <f>I23</f>
        <v>Limpeza</v>
      </c>
      <c r="B151" s="682"/>
      <c r="C151" s="683">
        <f>(I147-I117)</f>
        <v>1991.9733000000001</v>
      </c>
      <c r="D151" s="683"/>
      <c r="E151" s="72">
        <v>1</v>
      </c>
      <c r="F151" s="683">
        <f>(I147-I117)</f>
        <v>1991.9733000000001</v>
      </c>
      <c r="G151" s="683"/>
      <c r="H151" s="72">
        <v>1</v>
      </c>
      <c r="I151" s="141">
        <f>F151*H151</f>
        <v>1991.9733000000001</v>
      </c>
    </row>
    <row r="152" spans="1:27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27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1991.9733000000001</v>
      </c>
    </row>
    <row r="154" spans="1:27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23903.679599999999</v>
      </c>
    </row>
    <row r="155" spans="1:27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27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</row>
    <row r="158" spans="1:27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>
      <c r="A160" s="180">
        <v>5.95</v>
      </c>
      <c r="B160" s="37">
        <v>1</v>
      </c>
      <c r="C160" s="37">
        <v>26</v>
      </c>
      <c r="D160" s="99">
        <f>A160*B160*C160</f>
        <v>154.70000000000002</v>
      </c>
      <c r="E160" s="32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>
      <c r="A161" s="77"/>
      <c r="B161" s="78"/>
      <c r="C161" s="79"/>
      <c r="D161" s="80"/>
      <c r="E161" s="32"/>
      <c r="F161" s="81"/>
      <c r="G161" s="79"/>
      <c r="H161" s="79"/>
      <c r="I161" s="82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</row>
    <row r="162" spans="1:27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</row>
    <row r="164" spans="1:27">
      <c r="A164" s="46"/>
      <c r="B164" s="40"/>
      <c r="C164" s="40"/>
      <c r="D164" s="41"/>
      <c r="E164" s="32"/>
      <c r="F164" s="42"/>
      <c r="G164" s="40"/>
      <c r="H164" s="40"/>
      <c r="I164" s="4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</row>
    <row r="166" spans="1:27" ht="26.25" customHeight="1" thickBot="1">
      <c r="A166" s="44">
        <f>D160</f>
        <v>154.70000000000002</v>
      </c>
      <c r="B166" s="50">
        <f>C163</f>
        <v>28.865454545454543</v>
      </c>
      <c r="C166" s="51">
        <f>A166-B166</f>
        <v>125.83454545454548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27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27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21" sqref="J21"/>
      <rowBreaks count="2" manualBreakCount="2">
        <brk id="81" max="8" man="1"/>
        <brk id="154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8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8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21" sqref="J21"/>
      <rowBreaks count="2" manualBreakCount="2">
        <brk id="81" max="8" man="1"/>
        <brk id="154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ilha24">
    <tabColor rgb="FF92D050"/>
  </sheetPr>
  <dimension ref="A1:AO169"/>
  <sheetViews>
    <sheetView view="pageBreakPreview" zoomScaleNormal="96" zoomScaleSheetLayoutView="100" workbookViewId="0">
      <selection activeCell="L15" sqref="L15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340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</row>
    <row r="24" spans="1:4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</row>
    <row r="25" spans="1:4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</row>
    <row r="26" spans="1:4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</row>
    <row r="27" spans="1:4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</row>
    <row r="28" spans="1:41">
      <c r="A28" s="143"/>
      <c r="B28" s="3"/>
      <c r="C28" s="3"/>
      <c r="D28" s="3"/>
      <c r="E28" s="3"/>
      <c r="F28" s="3"/>
      <c r="G28" s="3"/>
      <c r="H28" s="3"/>
      <c r="I28" s="6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</row>
    <row r="29" spans="1:41">
      <c r="A29" s="646" t="s">
        <v>30</v>
      </c>
      <c r="B29" s="646"/>
      <c r="C29" s="646"/>
      <c r="D29" s="646"/>
      <c r="E29" s="646"/>
      <c r="F29" s="646"/>
      <c r="G29" s="646"/>
      <c r="H29" s="646"/>
      <c r="I29" s="646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</row>
    <row r="30" spans="1:4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</row>
    <row r="31" spans="1:4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</row>
    <row r="32" spans="1:41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</row>
    <row r="33" spans="1:41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</row>
    <row r="34" spans="1:41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</row>
    <row r="35" spans="1:41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</row>
    <row r="36" spans="1:41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</row>
    <row r="37" spans="1:4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</row>
    <row r="38" spans="1:4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</row>
    <row r="39" spans="1:41">
      <c r="A39" s="95"/>
      <c r="B39" s="95"/>
      <c r="C39" s="95"/>
      <c r="D39" s="95"/>
      <c r="E39" s="95"/>
      <c r="F39" s="95"/>
      <c r="G39" s="95"/>
      <c r="H39" s="95"/>
      <c r="I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</row>
    <row r="40" spans="1:4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</row>
    <row r="41" spans="1:4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</row>
    <row r="42" spans="1:4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</row>
    <row r="43" spans="1:4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</row>
    <row r="44" spans="1:4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</row>
    <row r="45" spans="1:4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</row>
    <row r="46" spans="1:41">
      <c r="A46" s="95"/>
      <c r="B46" s="95"/>
      <c r="C46" s="95"/>
      <c r="D46" s="95"/>
      <c r="E46" s="95"/>
      <c r="F46" s="95"/>
      <c r="G46" s="95"/>
      <c r="H46" s="15"/>
      <c r="I46" s="11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</row>
    <row r="47" spans="1:4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</row>
    <row r="48" spans="1:4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</row>
    <row r="49" spans="1:4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</row>
    <row r="50" spans="1:4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</row>
    <row r="51" spans="1:4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</row>
    <row r="52" spans="1:4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</row>
    <row r="53" spans="1:4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</row>
    <row r="54" spans="1:4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</row>
    <row r="55" spans="1:4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</row>
    <row r="56" spans="1:4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</row>
    <row r="57" spans="1:4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</row>
    <row r="58" spans="1:41">
      <c r="A58" s="16"/>
      <c r="B58" s="16"/>
      <c r="C58" s="16"/>
      <c r="D58" s="16"/>
      <c r="E58" s="16"/>
      <c r="F58" s="16"/>
      <c r="G58" s="16"/>
      <c r="H58" s="17"/>
      <c r="I58" s="18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</row>
    <row r="59" spans="1:4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</row>
    <row r="60" spans="1:4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</row>
    <row r="61" spans="1:4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4.8099999999999996</v>
      </c>
      <c r="I61" s="70">
        <f>C166</f>
        <v>96.194545454545448</v>
      </c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</row>
    <row r="62" spans="1:4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</row>
    <row r="63" spans="1:4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</row>
    <row r="64" spans="1:4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</row>
    <row r="65" spans="1:4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</row>
    <row r="66" spans="1:4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</row>
    <row r="67" spans="1:4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</row>
    <row r="68" spans="1:4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518.76080000000002</v>
      </c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>
      <c r="A74" s="95"/>
      <c r="B74" s="95"/>
      <c r="C74" s="95"/>
      <c r="D74" s="95"/>
      <c r="E74" s="95"/>
      <c r="F74" s="95"/>
      <c r="G74" s="95"/>
      <c r="H74" s="95"/>
      <c r="I74" s="11"/>
    </row>
    <row r="75" spans="1:4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518.76080000000002</v>
      </c>
    </row>
    <row r="80" spans="1:4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768.92060000000004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106.81851666666667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21.363703333333333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0.45598346575413334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0.23500073666666668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1.8294935941903108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130.70259999999999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130.70259999999999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130.70259999999999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81.28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115.9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7"/>
      <c r="I127" s="208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12.97071833607006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59.864853858784898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99.774756431308163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369.7903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768.92060000000004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130.70259999999999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1625.7048</v>
      </c>
    </row>
    <row r="146" spans="1:4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369.7903</v>
      </c>
    </row>
    <row r="147" spans="1:4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1995.4951000000001</v>
      </c>
    </row>
    <row r="148" spans="1:41">
      <c r="A148" s="5"/>
      <c r="B148" s="5"/>
      <c r="C148" s="5"/>
      <c r="D148" s="5"/>
      <c r="E148" s="5"/>
      <c r="F148" s="5"/>
      <c r="G148" s="5"/>
      <c r="H148" s="5"/>
      <c r="I148" s="69"/>
    </row>
    <row r="149" spans="1:4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1" ht="27.65" customHeight="1">
      <c r="A151" s="681" t="str">
        <f>I23</f>
        <v>Limpeza</v>
      </c>
      <c r="B151" s="682"/>
      <c r="C151" s="683">
        <f>(I147-I117)</f>
        <v>1995.4951000000001</v>
      </c>
      <c r="D151" s="683"/>
      <c r="E151" s="72">
        <v>1</v>
      </c>
      <c r="F151" s="683">
        <f>(I147-I117)</f>
        <v>1995.4951000000001</v>
      </c>
      <c r="G151" s="683"/>
      <c r="H151" s="72">
        <v>1</v>
      </c>
      <c r="I151" s="141">
        <f>F151*H151</f>
        <v>1995.4951000000001</v>
      </c>
    </row>
    <row r="152" spans="1:4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1995.4951000000001</v>
      </c>
    </row>
    <row r="154" spans="1:4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I153*12</f>
        <v>23945.941200000001</v>
      </c>
    </row>
    <row r="155" spans="1:4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</row>
    <row r="157" spans="1:4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</row>
    <row r="158" spans="1:4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</row>
    <row r="159" spans="1:4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</row>
    <row r="160" spans="1:41">
      <c r="A160" s="180">
        <v>4.8099999999999996</v>
      </c>
      <c r="B160" s="182">
        <v>1</v>
      </c>
      <c r="C160" s="182">
        <v>26</v>
      </c>
      <c r="D160" s="183">
        <f>A160*B160*C160</f>
        <v>125.05999999999999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</row>
    <row r="161" spans="1:41">
      <c r="A161" s="77"/>
      <c r="B161" s="78"/>
      <c r="C161" s="79"/>
      <c r="D161" s="80"/>
      <c r="E161" s="32"/>
      <c r="F161" s="81"/>
      <c r="G161" s="79"/>
      <c r="H161" s="79"/>
      <c r="I161" s="82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</row>
    <row r="162" spans="1:4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</row>
    <row r="163" spans="1:4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</row>
    <row r="164" spans="1:41">
      <c r="A164" s="46"/>
      <c r="B164" s="40"/>
      <c r="C164" s="40"/>
      <c r="D164" s="41"/>
      <c r="E164" s="32"/>
      <c r="F164" s="42"/>
      <c r="G164" s="40"/>
      <c r="H164" s="40"/>
      <c r="I164" s="43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</row>
    <row r="165" spans="1:4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</row>
    <row r="166" spans="1:41" ht="26.25" customHeight="1" thickBot="1">
      <c r="A166" s="44">
        <f>D160</f>
        <v>125.05999999999999</v>
      </c>
      <c r="B166" s="50">
        <f>C163</f>
        <v>28.865454545454543</v>
      </c>
      <c r="C166" s="51">
        <f>A166-B166</f>
        <v>96.194545454545448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</row>
    <row r="167" spans="1:4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L27" sqref="L27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L27" sqref="L27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B127:G127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A1:I1"/>
    <mergeCell ref="A6:I6"/>
    <mergeCell ref="A8:I8"/>
    <mergeCell ref="B9:H9"/>
    <mergeCell ref="B10:H10"/>
    <mergeCell ref="B11:H11"/>
    <mergeCell ref="A17:B17"/>
    <mergeCell ref="C17:D17"/>
    <mergeCell ref="E17:I1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ilha25">
    <tabColor rgb="FF92D050"/>
  </sheetPr>
  <dimension ref="A1:AJ169"/>
  <sheetViews>
    <sheetView view="pageBreakPreview" zoomScaleNormal="96" zoomScaleSheetLayoutView="100" workbookViewId="0">
      <selection activeCell="M23" sqref="M23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339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6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6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6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6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6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6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</row>
    <row r="25" spans="1:36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</row>
    <row r="26" spans="1:36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</row>
    <row r="27" spans="1:36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</row>
    <row r="28" spans="1:36">
      <c r="A28" s="143"/>
      <c r="B28" s="3"/>
      <c r="C28" s="3"/>
      <c r="D28" s="3"/>
      <c r="E28" s="3"/>
      <c r="F28" s="3"/>
      <c r="G28" s="3"/>
      <c r="H28" s="3"/>
      <c r="I28" s="6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</row>
    <row r="29" spans="1:36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</row>
    <row r="30" spans="1:36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</row>
    <row r="31" spans="1:36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</row>
    <row r="32" spans="1:36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</row>
    <row r="33" spans="1:36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</row>
    <row r="34" spans="1:36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</row>
    <row r="35" spans="1:36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</row>
    <row r="36" spans="1:36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</row>
    <row r="37" spans="1:36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</row>
    <row r="38" spans="1:36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</row>
    <row r="39" spans="1:36">
      <c r="A39" s="95"/>
      <c r="B39" s="95"/>
      <c r="C39" s="95"/>
      <c r="D39" s="95"/>
      <c r="E39" s="95"/>
      <c r="F39" s="95"/>
      <c r="G39" s="95"/>
      <c r="H39" s="95"/>
      <c r="I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</row>
    <row r="40" spans="1:36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</row>
    <row r="41" spans="1:36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</row>
    <row r="42" spans="1:36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</row>
    <row r="43" spans="1:36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</row>
    <row r="44" spans="1:36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</row>
    <row r="45" spans="1:36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</row>
    <row r="46" spans="1:36">
      <c r="A46" s="95"/>
      <c r="B46" s="95"/>
      <c r="C46" s="95"/>
      <c r="D46" s="95"/>
      <c r="E46" s="95"/>
      <c r="F46" s="95"/>
      <c r="G46" s="95"/>
      <c r="H46" s="15"/>
      <c r="I46" s="11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</row>
    <row r="47" spans="1:36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</row>
    <row r="48" spans="1:36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</row>
    <row r="49" spans="1:36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</row>
    <row r="50" spans="1:36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</row>
    <row r="51" spans="1:36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</row>
    <row r="52" spans="1:36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</row>
    <row r="53" spans="1:36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</row>
    <row r="54" spans="1:36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</row>
    <row r="55" spans="1:36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</row>
    <row r="56" spans="1:36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</row>
    <row r="57" spans="1:36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</row>
    <row r="58" spans="1:36">
      <c r="A58" s="16"/>
      <c r="B58" s="16"/>
      <c r="C58" s="16"/>
      <c r="D58" s="16"/>
      <c r="E58" s="16"/>
      <c r="F58" s="16"/>
      <c r="G58" s="16"/>
      <c r="H58" s="17"/>
      <c r="I58" s="18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</row>
    <row r="59" spans="1:36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</row>
    <row r="60" spans="1:36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</row>
    <row r="61" spans="1:36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</v>
      </c>
      <c r="I61" s="70">
        <f>C166</f>
        <v>101.13454545454546</v>
      </c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</row>
    <row r="62" spans="1:36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</row>
    <row r="63" spans="1:36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</row>
    <row r="64" spans="1:36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</row>
    <row r="65" spans="1:36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</row>
    <row r="66" spans="1:36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</row>
    <row r="67" spans="1:36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</row>
    <row r="68" spans="1:36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</row>
    <row r="69" spans="1:36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</row>
    <row r="70" spans="1:36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</row>
    <row r="71" spans="1:36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</row>
    <row r="72" spans="1:36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</row>
    <row r="73" spans="1:36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523.70079999999996</v>
      </c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</row>
    <row r="74" spans="1:36">
      <c r="A74" s="95"/>
      <c r="B74" s="95"/>
      <c r="C74" s="95"/>
      <c r="D74" s="95"/>
      <c r="E74" s="95"/>
      <c r="F74" s="95"/>
      <c r="G74" s="95"/>
      <c r="H74" s="95"/>
      <c r="I74" s="11"/>
    </row>
    <row r="75" spans="1:36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6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6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6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6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523.70079999999996</v>
      </c>
    </row>
    <row r="80" spans="1:36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773.86059999999998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107.23018333333331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21.446036666666664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0.45774077524746659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0.23590640333333332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1.8365442587483904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131.2064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131.2064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131.2064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81.55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116.29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12.735325013390465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58.778423138725223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58.778423138725223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328.13209999999998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773.86059999999998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131.2064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6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1631.1486</v>
      </c>
    </row>
    <row r="146" spans="1:36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328.13209999999998</v>
      </c>
    </row>
    <row r="147" spans="1:36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1959.2807</v>
      </c>
    </row>
    <row r="148" spans="1:36">
      <c r="A148" s="5"/>
      <c r="B148" s="5"/>
      <c r="C148" s="5"/>
      <c r="D148" s="5"/>
      <c r="E148" s="5"/>
      <c r="F148" s="5"/>
      <c r="G148" s="5"/>
      <c r="H148" s="5"/>
      <c r="I148" s="69"/>
    </row>
    <row r="149" spans="1:36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6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6" ht="27.65" customHeight="1">
      <c r="A151" s="681" t="str">
        <f>I23</f>
        <v>Limpeza</v>
      </c>
      <c r="B151" s="682"/>
      <c r="C151" s="683">
        <f>(I147-I117)</f>
        <v>1959.2807</v>
      </c>
      <c r="D151" s="683"/>
      <c r="E151" s="72">
        <v>1</v>
      </c>
      <c r="F151" s="683">
        <f>(I147-I117)</f>
        <v>1959.2807</v>
      </c>
      <c r="G151" s="683"/>
      <c r="H151" s="72">
        <v>1</v>
      </c>
      <c r="I151" s="141">
        <f>F151*H151</f>
        <v>1959.2807</v>
      </c>
    </row>
    <row r="152" spans="1:36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6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1959.2807</v>
      </c>
    </row>
    <row r="154" spans="1:36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23511.368399999999</v>
      </c>
    </row>
    <row r="155" spans="1:36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6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</row>
    <row r="157" spans="1:36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</row>
    <row r="158" spans="1:36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</row>
    <row r="159" spans="1:36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</row>
    <row r="160" spans="1:36">
      <c r="A160" s="180">
        <v>5</v>
      </c>
      <c r="B160" s="182">
        <v>1</v>
      </c>
      <c r="C160" s="182">
        <v>26</v>
      </c>
      <c r="D160" s="183">
        <f>A160*B160*C160</f>
        <v>130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>
      <c r="A161" s="77"/>
      <c r="B161" s="78"/>
      <c r="C161" s="79"/>
      <c r="D161" s="80"/>
      <c r="E161" s="32"/>
      <c r="F161" s="81"/>
      <c r="G161" s="79"/>
      <c r="H161" s="79"/>
      <c r="I161" s="82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</row>
    <row r="164" spans="1:36">
      <c r="A164" s="46"/>
      <c r="B164" s="40"/>
      <c r="C164" s="40"/>
      <c r="D164" s="41"/>
      <c r="E164" s="32"/>
      <c r="F164" s="42"/>
      <c r="G164" s="40"/>
      <c r="H164" s="40"/>
      <c r="I164" s="43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</row>
    <row r="165" spans="1:36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</row>
    <row r="166" spans="1:36" ht="26.25" customHeight="1" thickBot="1">
      <c r="A166" s="44">
        <f>D160</f>
        <v>130</v>
      </c>
      <c r="B166" s="50">
        <f>C163</f>
        <v>28.865454545454543</v>
      </c>
      <c r="C166" s="51">
        <f>A166-B166</f>
        <v>101.13454545454546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</row>
    <row r="167" spans="1:36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6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6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26" sqref="J2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26" sqref="J2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ilha26">
    <tabColor rgb="FF92D050"/>
  </sheetPr>
  <dimension ref="A1:Z169"/>
  <sheetViews>
    <sheetView view="pageBreakPreview" zoomScaleNormal="96" zoomScaleSheetLayoutView="100" workbookViewId="0">
      <selection activeCell="N24" sqref="N24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338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26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26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26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26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26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26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>
      <c r="A28" s="143"/>
      <c r="B28" s="3"/>
      <c r="C28" s="3"/>
      <c r="D28" s="3"/>
      <c r="E28" s="3"/>
      <c r="F28" s="3"/>
      <c r="G28" s="3"/>
      <c r="H28" s="3"/>
      <c r="I28" s="6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>
      <c r="A35" s="9" t="s">
        <v>15</v>
      </c>
      <c r="B35" s="645" t="s">
        <v>43</v>
      </c>
      <c r="C35" s="645"/>
      <c r="D35" s="645"/>
      <c r="E35" s="645"/>
      <c r="F35" s="645"/>
      <c r="G35" s="645"/>
      <c r="H35" s="178">
        <v>0</v>
      </c>
      <c r="I35" s="29">
        <v>0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26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>
      <c r="A39" s="95"/>
      <c r="B39" s="95"/>
      <c r="C39" s="95"/>
      <c r="D39" s="95"/>
      <c r="E39" s="95"/>
      <c r="F39" s="95"/>
      <c r="G39" s="95"/>
      <c r="H39" s="95"/>
      <c r="I39" s="11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 spans="1:26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 spans="1:26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 spans="1:26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 spans="1:26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 spans="1:26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 spans="1:26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 spans="1:26">
      <c r="A46" s="95"/>
      <c r="B46" s="95"/>
      <c r="C46" s="95"/>
      <c r="D46" s="95"/>
      <c r="E46" s="95"/>
      <c r="F46" s="95"/>
      <c r="G46" s="95"/>
      <c r="H46" s="15"/>
      <c r="I46" s="1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 spans="1:26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 spans="1:26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 spans="1:26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 spans="1:26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 spans="1:26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 spans="1:26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 spans="1:26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 spans="1:26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 spans="1:26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 spans="1:26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26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6">
      <c r="A58" s="16"/>
      <c r="B58" s="16"/>
      <c r="C58" s="16"/>
      <c r="D58" s="16"/>
      <c r="E58" s="16"/>
      <c r="F58" s="16"/>
      <c r="G58" s="16"/>
      <c r="H58" s="17"/>
      <c r="I58" s="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26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 spans="1:26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26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</v>
      </c>
      <c r="I61" s="70">
        <f>C166</f>
        <v>101.13454545454546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 spans="1:26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26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26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 spans="1:26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 spans="1:26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 spans="1:26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 spans="1:26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 spans="1:26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:26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:26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6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 spans="1:26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523.70079999999996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:26">
      <c r="A74" s="95"/>
      <c r="B74" s="95"/>
      <c r="C74" s="95"/>
      <c r="D74" s="95"/>
      <c r="E74" s="95"/>
      <c r="F74" s="95"/>
      <c r="G74" s="95"/>
      <c r="H74" s="95"/>
      <c r="I74" s="11"/>
    </row>
    <row r="75" spans="1:26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26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26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26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26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523.70079999999996</v>
      </c>
    </row>
    <row r="80" spans="1:26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773.86059999999998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107.23018333333331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21.446036666666664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0.45774077524746659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0.23590640333333332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1.8365442587483904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131.2064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131.2064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131.2064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81.55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116.29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13.014149863163656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60.065307060755337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100.10884510125891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371.0283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773.86059999999998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131.2064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26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1631.1486</v>
      </c>
    </row>
    <row r="146" spans="1:26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371.0283</v>
      </c>
    </row>
    <row r="147" spans="1:26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2002.1768999999999</v>
      </c>
    </row>
    <row r="148" spans="1:26">
      <c r="A148" s="5"/>
      <c r="B148" s="5"/>
      <c r="C148" s="5"/>
      <c r="D148" s="5"/>
      <c r="E148" s="5"/>
      <c r="F148" s="5"/>
      <c r="G148" s="5"/>
      <c r="H148" s="5"/>
      <c r="I148" s="69"/>
    </row>
    <row r="149" spans="1:26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26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26" ht="27.65" customHeight="1">
      <c r="A151" s="681" t="str">
        <f>I23</f>
        <v>Limpeza</v>
      </c>
      <c r="B151" s="682"/>
      <c r="C151" s="683">
        <f>(I147-I117)</f>
        <v>2002.1768999999999</v>
      </c>
      <c r="D151" s="683"/>
      <c r="E151" s="72">
        <v>1</v>
      </c>
      <c r="F151" s="683">
        <f>(I147-I117)</f>
        <v>2002.1768999999999</v>
      </c>
      <c r="G151" s="683"/>
      <c r="H151" s="72">
        <v>1</v>
      </c>
      <c r="I151" s="141">
        <f>F151*H151</f>
        <v>2002.1768999999999</v>
      </c>
    </row>
    <row r="152" spans="1:26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26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2002.1768999999999</v>
      </c>
    </row>
    <row r="154" spans="1:26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24026.122800000001</v>
      </c>
    </row>
    <row r="155" spans="1:26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26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 spans="1:26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 spans="1:26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 spans="1:26">
      <c r="A159" s="189" t="s">
        <v>133</v>
      </c>
      <c r="B159" s="182" t="s">
        <v>142</v>
      </c>
      <c r="C159" s="182" t="s">
        <v>134</v>
      </c>
      <c r="D159" s="182" t="s">
        <v>24</v>
      </c>
      <c r="E159" s="184"/>
      <c r="F159" s="182" t="s">
        <v>133</v>
      </c>
      <c r="G159" s="182" t="s">
        <v>142</v>
      </c>
      <c r="H159" s="34" t="s">
        <v>134</v>
      </c>
      <c r="I159" s="35" t="s">
        <v>101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 spans="1:26">
      <c r="A160" s="180">
        <v>5</v>
      </c>
      <c r="B160" s="182">
        <v>1</v>
      </c>
      <c r="C160" s="182">
        <v>26</v>
      </c>
      <c r="D160" s="183">
        <f>A160*B160*C160</f>
        <v>130</v>
      </c>
      <c r="E160" s="184"/>
      <c r="F160" s="173">
        <v>26.833300000000001</v>
      </c>
      <c r="G160" s="182">
        <v>1</v>
      </c>
      <c r="H160" s="37">
        <v>13</v>
      </c>
      <c r="I160" s="97">
        <f>F160*G160*H160</f>
        <v>348.8329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 spans="1:26">
      <c r="A161" s="185"/>
      <c r="B161" s="186"/>
      <c r="C161" s="186"/>
      <c r="D161" s="187"/>
      <c r="E161" s="184"/>
      <c r="F161" s="188"/>
      <c r="G161" s="186"/>
      <c r="H161" s="79"/>
      <c r="I161" s="82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 spans="1:26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 spans="1:26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 spans="1:26">
      <c r="A164" s="46"/>
      <c r="B164" s="40"/>
      <c r="C164" s="40"/>
      <c r="D164" s="41"/>
      <c r="E164" s="32"/>
      <c r="F164" s="42"/>
      <c r="G164" s="40"/>
      <c r="H164" s="40"/>
      <c r="I164" s="4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 spans="1:26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 spans="1:26" ht="26.25" customHeight="1" thickBot="1">
      <c r="A166" s="44">
        <f>D160</f>
        <v>130</v>
      </c>
      <c r="B166" s="50">
        <f>C163</f>
        <v>28.865454545454543</v>
      </c>
      <c r="C166" s="51">
        <f>A166-B166</f>
        <v>101.13454545454546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 spans="1:26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26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26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S16" sqref="S1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57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57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S16" sqref="S1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Planilha27">
    <tabColor rgb="FF92D050"/>
  </sheetPr>
  <dimension ref="A1:AM169"/>
  <sheetViews>
    <sheetView view="pageBreakPreview" zoomScaleNormal="96" zoomScaleSheetLayoutView="100" workbookViewId="0">
      <selection activeCell="L25" sqref="L25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9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337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9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</row>
    <row r="23" spans="1:3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>
      <c r="A28" s="143"/>
      <c r="B28" s="3"/>
      <c r="C28" s="3"/>
      <c r="D28" s="3"/>
      <c r="E28" s="3"/>
      <c r="F28" s="3"/>
      <c r="G28" s="3"/>
      <c r="H28" s="3"/>
      <c r="I28" s="6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3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</row>
    <row r="31" spans="1:3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</row>
    <row r="33" spans="1:39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39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3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3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3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39">
      <c r="A39" s="95"/>
      <c r="B39" s="95"/>
      <c r="C39" s="95"/>
      <c r="D39" s="95"/>
      <c r="E39" s="95"/>
      <c r="F39" s="95"/>
      <c r="G39" s="95"/>
      <c r="H39" s="95"/>
      <c r="I39" s="11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3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3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</row>
    <row r="46" spans="1:39">
      <c r="A46" s="95"/>
      <c r="B46" s="95"/>
      <c r="C46" s="95"/>
      <c r="D46" s="95"/>
      <c r="E46" s="95"/>
      <c r="F46" s="95"/>
      <c r="G46" s="95"/>
      <c r="H46" s="15"/>
      <c r="I46" s="11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</row>
    <row r="47" spans="1:3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</row>
    <row r="48" spans="1:3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</row>
    <row r="49" spans="1:3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</row>
    <row r="50" spans="1:3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</row>
    <row r="51" spans="1:3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</row>
    <row r="52" spans="1:3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</row>
    <row r="53" spans="1:3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</row>
    <row r="54" spans="1:3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</row>
    <row r="55" spans="1:3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</row>
    <row r="56" spans="1:3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</row>
    <row r="57" spans="1:3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</row>
    <row r="58" spans="1:39">
      <c r="A58" s="16"/>
      <c r="B58" s="16"/>
      <c r="C58" s="16"/>
      <c r="D58" s="16"/>
      <c r="E58" s="16"/>
      <c r="F58" s="16"/>
      <c r="G58" s="16"/>
      <c r="H58" s="17"/>
      <c r="I58" s="18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</row>
    <row r="59" spans="1:39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</row>
    <row r="60" spans="1:3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</row>
    <row r="61" spans="1:3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6.5</v>
      </c>
      <c r="I61" s="70">
        <f>C166</f>
        <v>140.13454545454545</v>
      </c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</row>
    <row r="62" spans="1:3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</row>
    <row r="64" spans="1:3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</row>
    <row r="65" spans="1:3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</row>
    <row r="66" spans="1:3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</row>
    <row r="67" spans="1:3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</row>
    <row r="68" spans="1:39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</row>
    <row r="69" spans="1:3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</row>
    <row r="70" spans="1:3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</row>
    <row r="71" spans="1:3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</row>
    <row r="72" spans="1:3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</row>
    <row r="73" spans="1:3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562.70079999999996</v>
      </c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</row>
    <row r="74" spans="1:39">
      <c r="A74" s="95"/>
      <c r="B74" s="95"/>
      <c r="C74" s="95"/>
      <c r="D74" s="95"/>
      <c r="E74" s="95"/>
      <c r="F74" s="95"/>
      <c r="G74" s="95"/>
      <c r="H74" s="95"/>
      <c r="I74" s="11"/>
    </row>
    <row r="75" spans="1:3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562.70079999999996</v>
      </c>
    </row>
    <row r="80" spans="1:3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812.86059999999998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110.48018333333331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22.096036666666663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0.47161427124746663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0.24305640333333331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1.8922073999963904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135.18299999999999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135.18299999999999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135.18299999999999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83.7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119.35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425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13.357021127531473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61.64778981937603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102.74631636562673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380.80110000000002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812.86059999999998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135.18299999999999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1674.1251999999999</v>
      </c>
    </row>
    <row r="146" spans="1:3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380.80110000000002</v>
      </c>
    </row>
    <row r="147" spans="1:3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2054.9263000000001</v>
      </c>
    </row>
    <row r="148" spans="1:39">
      <c r="A148" s="5"/>
      <c r="B148" s="5"/>
      <c r="C148" s="5"/>
      <c r="D148" s="5"/>
      <c r="E148" s="5"/>
      <c r="F148" s="5"/>
      <c r="G148" s="5"/>
      <c r="H148" s="5"/>
      <c r="I148" s="69"/>
    </row>
    <row r="149" spans="1:3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9" ht="27.65" customHeight="1">
      <c r="A151" s="681" t="str">
        <f>I23</f>
        <v>Limpeza</v>
      </c>
      <c r="B151" s="682"/>
      <c r="C151" s="683">
        <f>(I147-I117)</f>
        <v>2054.9263000000001</v>
      </c>
      <c r="D151" s="683"/>
      <c r="E151" s="72">
        <v>1</v>
      </c>
      <c r="F151" s="683">
        <f>(I147-I117)</f>
        <v>2054.9263000000001</v>
      </c>
      <c r="G151" s="683"/>
      <c r="H151" s="72">
        <v>1</v>
      </c>
      <c r="I151" s="141">
        <f>F151*H151</f>
        <v>2054.9263000000001</v>
      </c>
    </row>
    <row r="152" spans="1:3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2054.9263000000001</v>
      </c>
    </row>
    <row r="154" spans="1:3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24659.115600000001</v>
      </c>
    </row>
    <row r="155" spans="1:3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</row>
    <row r="157" spans="1:3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</row>
    <row r="158" spans="1:39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</row>
    <row r="159" spans="1:3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</row>
    <row r="160" spans="1:39">
      <c r="A160" s="180">
        <v>6.5</v>
      </c>
      <c r="B160" s="37">
        <v>1</v>
      </c>
      <c r="C160" s="37">
        <v>26</v>
      </c>
      <c r="D160" s="99">
        <f>A160*B160*C160</f>
        <v>169</v>
      </c>
      <c r="E160" s="32"/>
      <c r="F160" s="100">
        <v>26.833300000000001</v>
      </c>
      <c r="G160" s="37">
        <v>1</v>
      </c>
      <c r="H160" s="37">
        <v>13</v>
      </c>
      <c r="I160" s="97">
        <f>F160*G160*H160</f>
        <v>348.8329</v>
      </c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</row>
    <row r="161" spans="1:39">
      <c r="A161" s="77"/>
      <c r="B161" s="78"/>
      <c r="C161" s="79"/>
      <c r="D161" s="80"/>
      <c r="E161" s="32"/>
      <c r="F161" s="81"/>
      <c r="G161" s="79"/>
      <c r="H161" s="79"/>
      <c r="I161" s="82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</row>
    <row r="162" spans="1:3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</row>
    <row r="163" spans="1:39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</row>
    <row r="164" spans="1:39">
      <c r="A164" s="46"/>
      <c r="B164" s="40"/>
      <c r="C164" s="40"/>
      <c r="D164" s="41"/>
      <c r="E164" s="32"/>
      <c r="F164" s="42"/>
      <c r="G164" s="40"/>
      <c r="H164" s="40"/>
      <c r="I164" s="43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</row>
    <row r="165" spans="1:3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</row>
    <row r="166" spans="1:39" ht="26.25" customHeight="1" thickBot="1">
      <c r="A166" s="44">
        <f>D160</f>
        <v>169</v>
      </c>
      <c r="B166" s="50">
        <f>C163</f>
        <v>28.865454545454543</v>
      </c>
      <c r="C166" s="51">
        <f>A166-B166</f>
        <v>140.13454545454545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</row>
    <row r="167" spans="1:3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9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6" sqref="K1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51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51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6" sqref="K16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Planilha28">
    <tabColor rgb="FF92D050"/>
  </sheetPr>
  <dimension ref="A1:AN169"/>
  <sheetViews>
    <sheetView view="pageBreakPreview" zoomScale="93" zoomScaleNormal="96" zoomScaleSheetLayoutView="93" workbookViewId="0">
      <selection activeCell="L22" sqref="L22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2.542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336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0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0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0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0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0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</row>
    <row r="23" spans="1:4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1:4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</row>
    <row r="25" spans="1:4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</row>
    <row r="26" spans="1:4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</row>
    <row r="27" spans="1:4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</row>
    <row r="28" spans="1:40">
      <c r="A28" s="143"/>
      <c r="B28" s="3"/>
      <c r="C28" s="3"/>
      <c r="D28" s="3"/>
      <c r="E28" s="3"/>
      <c r="F28" s="3"/>
      <c r="G28" s="3"/>
      <c r="H28" s="3"/>
      <c r="I28" s="6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</row>
    <row r="29" spans="1:40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</row>
    <row r="30" spans="1:4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</row>
    <row r="31" spans="1:4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</row>
    <row r="32" spans="1:40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</row>
    <row r="33" spans="1:40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</row>
    <row r="34" spans="1:40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</row>
    <row r="35" spans="1:4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</row>
    <row r="36" spans="1:4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</row>
    <row r="37" spans="1:4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</row>
    <row r="38" spans="1:4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</row>
    <row r="39" spans="1:40">
      <c r="A39" s="95"/>
      <c r="B39" s="95"/>
      <c r="C39" s="95"/>
      <c r="D39" s="95"/>
      <c r="E39" s="95"/>
      <c r="F39" s="95"/>
      <c r="G39" s="95"/>
      <c r="H39" s="95"/>
      <c r="I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</row>
    <row r="40" spans="1:4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</row>
    <row r="41" spans="1:4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</row>
    <row r="42" spans="1:4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</row>
    <row r="43" spans="1:4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</row>
    <row r="44" spans="1:4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</row>
    <row r="45" spans="1:4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</row>
    <row r="46" spans="1:40">
      <c r="A46" s="95"/>
      <c r="B46" s="95"/>
      <c r="C46" s="95"/>
      <c r="D46" s="95"/>
      <c r="E46" s="95"/>
      <c r="F46" s="95"/>
      <c r="G46" s="95"/>
      <c r="H46" s="15"/>
      <c r="I46" s="11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</row>
    <row r="47" spans="1:40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</row>
    <row r="48" spans="1:4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</row>
    <row r="49" spans="1:4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</row>
    <row r="50" spans="1:4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</row>
    <row r="51" spans="1:4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</row>
    <row r="52" spans="1:4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1:4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1:4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</row>
    <row r="55" spans="1:4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</row>
    <row r="56" spans="1:4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</row>
    <row r="57" spans="1:4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</row>
    <row r="58" spans="1:40">
      <c r="A58" s="16"/>
      <c r="B58" s="16"/>
      <c r="C58" s="16"/>
      <c r="D58" s="16"/>
      <c r="E58" s="16"/>
      <c r="F58" s="16"/>
      <c r="G58" s="16"/>
      <c r="H58" s="17"/>
      <c r="I58" s="18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</row>
    <row r="59" spans="1:4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</row>
    <row r="60" spans="1:4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</row>
    <row r="61" spans="1:4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</v>
      </c>
      <c r="I61" s="70">
        <f>C166</f>
        <v>101.13454545454546</v>
      </c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</row>
    <row r="62" spans="1:4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</row>
    <row r="63" spans="1:4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</row>
    <row r="64" spans="1:4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</row>
    <row r="65" spans="1:4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</row>
    <row r="66" spans="1:4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</row>
    <row r="67" spans="1:4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</row>
    <row r="68" spans="1:40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</row>
    <row r="69" spans="1:4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</row>
    <row r="70" spans="1:4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</row>
    <row r="71" spans="1:4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</row>
    <row r="72" spans="1:4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</row>
    <row r="73" spans="1:4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523.70079999999996</v>
      </c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</row>
    <row r="74" spans="1:40">
      <c r="A74" s="95"/>
      <c r="B74" s="95"/>
      <c r="C74" s="95"/>
      <c r="D74" s="95"/>
      <c r="E74" s="95"/>
      <c r="F74" s="95"/>
      <c r="G74" s="95"/>
      <c r="H74" s="95"/>
      <c r="I74" s="11"/>
    </row>
    <row r="75" spans="1:4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523.70079999999996</v>
      </c>
    </row>
    <row r="80" spans="1:4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773.86059999999998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107.23018333333331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21.446036666666664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0.45774077524746659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0.23590640333333332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1.8365442587483904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131.2064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131.2064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131.2064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81.55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116.29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425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12.873227828911748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59.414897671900377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0.04</v>
      </c>
      <c r="I135" s="209">
        <f>(I145+I124+I125)/(1-SUM(E128:H135))*H135</f>
        <v>79.219863562533845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0.19440000000000002</v>
      </c>
      <c r="I136" s="10">
        <f>TRUNC(SUM(I124:I135),4)</f>
        <v>349.34789999999998</v>
      </c>
    </row>
    <row r="137" spans="1:9">
      <c r="A137" s="95"/>
      <c r="B137" s="95"/>
      <c r="C137" s="95"/>
      <c r="D137" s="95"/>
      <c r="E137" s="95"/>
      <c r="F137" s="95"/>
      <c r="G137" s="95"/>
      <c r="H137" s="190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773.86059999999998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131.2064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1631.1486</v>
      </c>
    </row>
    <row r="146" spans="1:4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349.34789999999998</v>
      </c>
    </row>
    <row r="147" spans="1:4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1980.4965</v>
      </c>
    </row>
    <row r="148" spans="1:40">
      <c r="A148" s="5"/>
      <c r="B148" s="5"/>
      <c r="C148" s="5"/>
      <c r="D148" s="5"/>
      <c r="E148" s="5"/>
      <c r="F148" s="5"/>
      <c r="G148" s="5"/>
      <c r="H148" s="5"/>
      <c r="I148" s="69"/>
    </row>
    <row r="149" spans="1:4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0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0" ht="27.65" customHeight="1">
      <c r="A151" s="681" t="str">
        <f>I23</f>
        <v>Limpeza</v>
      </c>
      <c r="B151" s="682"/>
      <c r="C151" s="683">
        <f>(I147-I117)</f>
        <v>1980.4965</v>
      </c>
      <c r="D151" s="683"/>
      <c r="E151" s="72">
        <v>1</v>
      </c>
      <c r="F151" s="683">
        <f>(I147-I117)</f>
        <v>1980.4965</v>
      </c>
      <c r="G151" s="683"/>
      <c r="H151" s="72">
        <v>1</v>
      </c>
      <c r="I151" s="141">
        <f>F151*H151</f>
        <v>1980.4965</v>
      </c>
    </row>
    <row r="152" spans="1:4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1980.4965</v>
      </c>
    </row>
    <row r="154" spans="1:4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23765.957999999999</v>
      </c>
    </row>
    <row r="155" spans="1:40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</row>
    <row r="157" spans="1:40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</row>
    <row r="158" spans="1:40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</row>
    <row r="159" spans="1:40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</row>
    <row r="160" spans="1:40">
      <c r="A160" s="180">
        <v>5</v>
      </c>
      <c r="B160" s="182">
        <v>1</v>
      </c>
      <c r="C160" s="182">
        <v>26</v>
      </c>
      <c r="D160" s="183">
        <f>A160*B160*C160</f>
        <v>130</v>
      </c>
      <c r="E160" s="184"/>
      <c r="F160" s="173">
        <v>26.833300000000001</v>
      </c>
      <c r="G160" s="182">
        <v>1</v>
      </c>
      <c r="H160" s="182">
        <v>13</v>
      </c>
      <c r="I160" s="97">
        <f>F160*G160*H160</f>
        <v>348.8329</v>
      </c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</row>
    <row r="161" spans="1:40">
      <c r="A161" s="77"/>
      <c r="B161" s="78"/>
      <c r="C161" s="79"/>
      <c r="D161" s="80"/>
      <c r="E161" s="32"/>
      <c r="F161" s="81"/>
      <c r="G161" s="79"/>
      <c r="H161" s="79"/>
      <c r="I161" s="82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</row>
    <row r="162" spans="1:40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</row>
    <row r="163" spans="1:40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</row>
    <row r="164" spans="1:40">
      <c r="A164" s="46"/>
      <c r="B164" s="40"/>
      <c r="C164" s="40"/>
      <c r="D164" s="41"/>
      <c r="E164" s="32"/>
      <c r="F164" s="42"/>
      <c r="G164" s="40"/>
      <c r="H164" s="40"/>
      <c r="I164" s="43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</row>
    <row r="165" spans="1:40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</row>
    <row r="166" spans="1:40" ht="26.25" customHeight="1" thickBot="1">
      <c r="A166" s="44">
        <f>D160</f>
        <v>130</v>
      </c>
      <c r="B166" s="50">
        <f>C163</f>
        <v>28.865454545454543</v>
      </c>
      <c r="C166" s="51">
        <f>A166-B166</f>
        <v>101.13454545454546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</row>
    <row r="167" spans="1:40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0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0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8" sqref="K1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5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8" sqref="K1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ilha29">
    <tabColor rgb="FF92D050"/>
  </sheetPr>
  <dimension ref="A1:AM169"/>
  <sheetViews>
    <sheetView view="pageBreakPreview" topLeftCell="A7" zoomScaleNormal="96" zoomScaleSheetLayoutView="100" workbookViewId="0">
      <selection activeCell="A40" sqref="A40:I40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335</v>
      </c>
      <c r="C10" s="648"/>
      <c r="D10" s="648"/>
      <c r="E10" s="648"/>
      <c r="F10" s="648"/>
      <c r="G10" s="648"/>
      <c r="H10" s="648"/>
      <c r="I10" s="152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9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9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9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9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9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</row>
    <row r="23" spans="1:3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3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</row>
    <row r="31" spans="1:3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</row>
    <row r="33" spans="1:3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3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3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3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3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39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3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3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</row>
    <row r="46" spans="1:39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</row>
    <row r="47" spans="1:3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</row>
    <row r="48" spans="1:3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</row>
    <row r="49" spans="1:3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</row>
    <row r="50" spans="1:3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</row>
    <row r="51" spans="1:3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</row>
    <row r="52" spans="1:3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</row>
    <row r="53" spans="1:3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</row>
    <row r="54" spans="1:3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</row>
    <row r="55" spans="1:3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</row>
    <row r="56" spans="1:3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</row>
    <row r="57" spans="1:3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</row>
    <row r="58" spans="1:39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</row>
    <row r="59" spans="1:39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</row>
    <row r="60" spans="1:3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</row>
    <row r="61" spans="1:3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4.59</v>
      </c>
      <c r="I61" s="70">
        <f>C166</f>
        <v>90.474545454545463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</row>
    <row r="62" spans="1:3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</row>
    <row r="64" spans="1:3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</row>
    <row r="65" spans="1:3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</row>
    <row r="66" spans="1:3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</row>
    <row r="67" spans="1:3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</row>
    <row r="68" spans="1:39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</row>
    <row r="69" spans="1:3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</row>
    <row r="70" spans="1:3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</row>
    <row r="71" spans="1:3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</row>
    <row r="72" spans="1:3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</row>
    <row r="73" spans="1:3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513.04079999999999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</row>
    <row r="74" spans="1:39">
      <c r="A74" s="95"/>
      <c r="B74" s="95"/>
      <c r="C74" s="95"/>
      <c r="D74" s="95"/>
      <c r="E74" s="95"/>
      <c r="F74" s="95"/>
      <c r="G74" s="95"/>
      <c r="H74" s="95"/>
      <c r="I74" s="11"/>
    </row>
    <row r="75" spans="1:3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513.04079999999999</v>
      </c>
    </row>
    <row r="80" spans="1:3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763.20060000000001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106.34184999999999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21.268370000000001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0.45394868634079999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0.23395207000000001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1.8213296668072707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130.11940000000001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130.11940000000001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130.11940000000001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80.97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115.45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12.643642635243706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58.355273701124794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58.355273701124794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325.77409999999998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763.20060000000001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130.11940000000001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1619.4015999999999</v>
      </c>
    </row>
    <row r="146" spans="1:3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325.77409999999998</v>
      </c>
    </row>
    <row r="147" spans="1:3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1945.1757</v>
      </c>
    </row>
    <row r="148" spans="1:39">
      <c r="A148" s="5"/>
      <c r="B148" s="5"/>
      <c r="C148" s="5"/>
      <c r="D148" s="5"/>
      <c r="E148" s="5"/>
      <c r="F148" s="5"/>
      <c r="G148" s="5"/>
      <c r="H148" s="5"/>
      <c r="I148" s="69"/>
    </row>
    <row r="149" spans="1:3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9" ht="27.65" customHeight="1">
      <c r="A151" s="681" t="str">
        <f>I23</f>
        <v>Limpeza</v>
      </c>
      <c r="B151" s="682"/>
      <c r="C151" s="683">
        <f>(I147-I117)</f>
        <v>1945.1757</v>
      </c>
      <c r="D151" s="683"/>
      <c r="E151" s="72">
        <v>1</v>
      </c>
      <c r="F151" s="683">
        <f>(I147-I117)</f>
        <v>1945.1757</v>
      </c>
      <c r="G151" s="683"/>
      <c r="H151" s="72">
        <v>1</v>
      </c>
      <c r="I151" s="141">
        <f>F151*H151</f>
        <v>1945.1757</v>
      </c>
    </row>
    <row r="152" spans="1:39">
      <c r="A152" s="681" t="s">
        <v>298</v>
      </c>
      <c r="B152" s="682"/>
      <c r="C152" s="694">
        <f>I117</f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1945.1757</v>
      </c>
    </row>
    <row r="154" spans="1:3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23342.108400000001</v>
      </c>
    </row>
    <row r="155" spans="1:3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</row>
    <row r="157" spans="1:3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</row>
    <row r="158" spans="1:39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</row>
    <row r="159" spans="1:39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</row>
    <row r="160" spans="1:39">
      <c r="A160" s="180">
        <v>4.59</v>
      </c>
      <c r="B160" s="182">
        <v>1</v>
      </c>
      <c r="C160" s="182">
        <v>26</v>
      </c>
      <c r="D160" s="183">
        <f>A160*B160*C160</f>
        <v>119.34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</row>
    <row r="161" spans="1:39">
      <c r="A161" s="77"/>
      <c r="B161" s="78"/>
      <c r="C161" s="79"/>
      <c r="D161" s="80"/>
      <c r="E161" s="32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</row>
    <row r="162" spans="1:3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</row>
    <row r="163" spans="1:39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</row>
    <row r="164" spans="1:39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</row>
    <row r="165" spans="1:3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</row>
    <row r="166" spans="1:39" ht="26.25" customHeight="1" thickBot="1">
      <c r="A166" s="44">
        <f>D160</f>
        <v>119.34</v>
      </c>
      <c r="B166" s="50">
        <f>C163</f>
        <v>28.865454545454543</v>
      </c>
      <c r="C166" s="51">
        <f>A166-B166</f>
        <v>90.474545454545463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</row>
    <row r="167" spans="1:3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9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M8" sqref="M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M8" sqref="M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Planilha30">
    <tabColor rgb="FF92D050"/>
  </sheetPr>
  <dimension ref="A1:AL169"/>
  <sheetViews>
    <sheetView view="pageBreakPreview" zoomScaleNormal="96" zoomScaleSheetLayoutView="100" workbookViewId="0">
      <selection activeCell="J1" sqref="J1:J104857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334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8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8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8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8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8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8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</row>
    <row r="23" spans="1:38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</row>
    <row r="24" spans="1:38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</row>
    <row r="25" spans="1:38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</row>
    <row r="26" spans="1:38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</row>
    <row r="27" spans="1:38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</row>
    <row r="29" spans="1:38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</row>
    <row r="30" spans="1:38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</row>
    <row r="31" spans="1:38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</row>
    <row r="32" spans="1:38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</row>
    <row r="33" spans="1:38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</row>
    <row r="36" spans="1:38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</row>
    <row r="39" spans="1:38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1:38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</row>
    <row r="41" spans="1:38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</row>
    <row r="42" spans="1:38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</row>
    <row r="45" spans="1:38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</row>
    <row r="46" spans="1:38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</row>
    <row r="47" spans="1:38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</row>
    <row r="49" spans="1:38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</row>
    <row r="50" spans="1:38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</row>
    <row r="51" spans="1:38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</row>
    <row r="52" spans="1:38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</row>
    <row r="53" spans="1:38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</row>
    <row r="55" spans="1:38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</row>
    <row r="56" spans="1:38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</row>
    <row r="57" spans="1:38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</row>
    <row r="58" spans="1:38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</row>
    <row r="60" spans="1:38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</row>
    <row r="61" spans="1:38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v>0</v>
      </c>
      <c r="I61" s="70">
        <v>0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</row>
    <row r="62" spans="1:38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</row>
    <row r="63" spans="1:38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</row>
    <row r="72" spans="1:38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</row>
    <row r="73" spans="1:38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>
      <c r="A74" s="95"/>
      <c r="B74" s="95"/>
      <c r="C74" s="95"/>
      <c r="D74" s="95"/>
      <c r="E74" s="95"/>
      <c r="F74" s="95"/>
      <c r="G74" s="95"/>
      <c r="H74" s="95"/>
      <c r="I74" s="11"/>
    </row>
    <row r="75" spans="1:38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8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8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8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8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38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12.058945073489385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55.656669569951006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4.4999999999999998E-2</v>
      </c>
      <c r="I135" s="209">
        <f>(I145+I124+I125)/(1-SUM(E128:H135))*H135</f>
        <v>83.485004354926517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0.19940000000000002</v>
      </c>
      <c r="I136" s="10">
        <f>TRUNC(SUM(I124:I135),4)</f>
        <v>335.5206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8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38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335.5206</v>
      </c>
    </row>
    <row r="147" spans="1:38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1855.2222999999999</v>
      </c>
    </row>
    <row r="148" spans="1:38">
      <c r="A148" s="5"/>
      <c r="B148" s="5"/>
      <c r="C148" s="5"/>
      <c r="D148" s="5"/>
      <c r="E148" s="5"/>
      <c r="F148" s="5"/>
      <c r="G148" s="5"/>
      <c r="H148" s="5"/>
      <c r="I148" s="69"/>
    </row>
    <row r="149" spans="1:38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8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8" ht="27.65" customHeight="1">
      <c r="A151" s="681" t="str">
        <f>I23</f>
        <v>Limpeza</v>
      </c>
      <c r="B151" s="682"/>
      <c r="C151" s="683">
        <f>(I147-I117)</f>
        <v>1855.2222999999999</v>
      </c>
      <c r="D151" s="683"/>
      <c r="E151" s="72">
        <v>1</v>
      </c>
      <c r="F151" s="683">
        <f>(I147-I117)</f>
        <v>1855.2222999999999</v>
      </c>
      <c r="G151" s="683"/>
      <c r="H151" s="72">
        <v>1</v>
      </c>
      <c r="I151" s="141">
        <f>F151*H151</f>
        <v>1855.2222999999999</v>
      </c>
    </row>
    <row r="152" spans="1:38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8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1855.2222999999999</v>
      </c>
    </row>
    <row r="154" spans="1:38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22262.667600000001</v>
      </c>
    </row>
    <row r="155" spans="1:38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8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</row>
    <row r="157" spans="1:38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</row>
    <row r="158" spans="1:38">
      <c r="A158" s="691" t="s">
        <v>317</v>
      </c>
      <c r="B158" s="692"/>
      <c r="C158" s="692"/>
      <c r="D158" s="692"/>
      <c r="E158" s="184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</row>
    <row r="159" spans="1:38">
      <c r="A159" s="33" t="s">
        <v>133</v>
      </c>
      <c r="B159" s="34" t="s">
        <v>142</v>
      </c>
      <c r="C159" s="34" t="s">
        <v>134</v>
      </c>
      <c r="D159" s="34" t="s">
        <v>24</v>
      </c>
      <c r="E159" s="184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</row>
    <row r="160" spans="1:38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</row>
    <row r="161" spans="1:38">
      <c r="A161" s="77"/>
      <c r="B161" s="78"/>
      <c r="C161" s="79"/>
      <c r="D161" s="80"/>
      <c r="E161" s="184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</row>
    <row r="162" spans="1:38" ht="18.649999999999999" customHeight="1">
      <c r="A162" s="33" t="s">
        <v>33</v>
      </c>
      <c r="B162" s="34" t="s">
        <v>3</v>
      </c>
      <c r="C162" s="34" t="s">
        <v>24</v>
      </c>
      <c r="D162" s="41"/>
      <c r="E162" s="184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</row>
    <row r="163" spans="1:38">
      <c r="A163" s="44">
        <f>I31</f>
        <v>481.09090909090907</v>
      </c>
      <c r="B163" s="34">
        <v>6</v>
      </c>
      <c r="C163" s="38"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>
      <c r="A164" s="46"/>
      <c r="B164" s="40"/>
      <c r="C164" s="40"/>
      <c r="D164" s="41"/>
      <c r="E164" s="184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</row>
    <row r="165" spans="1:38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</row>
    <row r="166" spans="1:38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4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</row>
    <row r="167" spans="1:38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8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8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9" sqref="K9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9" sqref="K9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Planilha31">
    <tabColor rgb="FF92D050"/>
  </sheetPr>
  <dimension ref="A1:AM169"/>
  <sheetViews>
    <sheetView view="pageBreakPreview" topLeftCell="A4" zoomScaleNormal="96" zoomScaleSheetLayoutView="100" workbookViewId="0">
      <selection activeCell="P27" sqref="P27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333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39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39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39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39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39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39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</row>
    <row r="23" spans="1:39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</row>
    <row r="30" spans="1:39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</row>
    <row r="31" spans="1:39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</row>
    <row r="32" spans="1:39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</row>
    <row r="33" spans="1:39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39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39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39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39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39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39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39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39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39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39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39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39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</row>
    <row r="46" spans="1:39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</row>
    <row r="47" spans="1:39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</row>
    <row r="48" spans="1:39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</row>
    <row r="49" spans="1:39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</row>
    <row r="50" spans="1:39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</row>
    <row r="51" spans="1:39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</row>
    <row r="52" spans="1:39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</row>
    <row r="53" spans="1:39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</row>
    <row r="54" spans="1:39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</row>
    <row r="55" spans="1:39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</row>
    <row r="56" spans="1:39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</row>
    <row r="57" spans="1:39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</row>
    <row r="58" spans="1:39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</row>
    <row r="59" spans="1:39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</row>
    <row r="60" spans="1:39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</row>
    <row r="61" spans="1:39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f>C166</f>
        <v>0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</row>
    <row r="62" spans="1:39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</row>
    <row r="63" spans="1:39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</row>
    <row r="64" spans="1:39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</row>
    <row r="65" spans="1:39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</row>
    <row r="66" spans="1:39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</row>
    <row r="67" spans="1:39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</row>
    <row r="68" spans="1:39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</row>
    <row r="69" spans="1:39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</row>
    <row r="70" spans="1:39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</row>
    <row r="71" spans="1:39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</row>
    <row r="72" spans="1:39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</row>
    <row r="73" spans="1:39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</row>
    <row r="74" spans="1:39">
      <c r="A74" s="95"/>
      <c r="B74" s="95"/>
      <c r="C74" s="95"/>
      <c r="D74" s="95"/>
      <c r="E74" s="95"/>
      <c r="F74" s="95"/>
      <c r="G74" s="95"/>
      <c r="H74" s="95"/>
      <c r="I74" s="11"/>
    </row>
    <row r="75" spans="1:39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9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9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9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9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39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12.12494915161467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55.961303776683089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206" t="s">
        <v>141</v>
      </c>
      <c r="C132" s="207"/>
      <c r="D132" s="207"/>
      <c r="E132" s="207"/>
      <c r="F132" s="207"/>
      <c r="G132" s="207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93.268839627805164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345.67500000000001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9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39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345.67500000000001</v>
      </c>
    </row>
    <row r="147" spans="1:39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1865.3767</v>
      </c>
    </row>
    <row r="148" spans="1:39">
      <c r="A148" s="5"/>
      <c r="B148" s="5"/>
      <c r="C148" s="5"/>
      <c r="D148" s="5"/>
      <c r="E148" s="5"/>
      <c r="F148" s="5"/>
      <c r="G148" s="5"/>
      <c r="H148" s="5"/>
      <c r="I148" s="69"/>
    </row>
    <row r="149" spans="1:39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9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9" ht="27.65" customHeight="1">
      <c r="A151" s="681" t="str">
        <f>I23</f>
        <v>Limpeza</v>
      </c>
      <c r="B151" s="682"/>
      <c r="C151" s="683">
        <f>(I147-I117)</f>
        <v>1865.3767</v>
      </c>
      <c r="D151" s="683"/>
      <c r="E151" s="72">
        <v>1</v>
      </c>
      <c r="F151" s="683">
        <f>(I147-I117)</f>
        <v>1865.3767</v>
      </c>
      <c r="G151" s="683"/>
      <c r="H151" s="72">
        <v>1</v>
      </c>
      <c r="I151" s="141">
        <f>F151*H151</f>
        <v>1865.3767</v>
      </c>
    </row>
    <row r="152" spans="1:39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9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1865.3767</v>
      </c>
    </row>
    <row r="154" spans="1:39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22384.520400000001</v>
      </c>
    </row>
    <row r="155" spans="1:39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9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</row>
    <row r="157" spans="1:39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</row>
    <row r="158" spans="1:39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</row>
    <row r="159" spans="1:39">
      <c r="A159" s="189" t="s">
        <v>133</v>
      </c>
      <c r="B159" s="182" t="s">
        <v>142</v>
      </c>
      <c r="C159" s="182" t="s">
        <v>134</v>
      </c>
      <c r="D159" s="182" t="s">
        <v>24</v>
      </c>
      <c r="E159" s="184"/>
      <c r="F159" s="182" t="s">
        <v>133</v>
      </c>
      <c r="G159" s="182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</row>
    <row r="160" spans="1:39">
      <c r="A160" s="180">
        <v>0</v>
      </c>
      <c r="B160" s="182">
        <v>1</v>
      </c>
      <c r="C160" s="182">
        <v>26</v>
      </c>
      <c r="D160" s="183">
        <f>A160*B160*C160</f>
        <v>0</v>
      </c>
      <c r="E160" s="184"/>
      <c r="F160" s="173">
        <v>26.833300000000001</v>
      </c>
      <c r="G160" s="182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</row>
    <row r="161" spans="1:39">
      <c r="A161" s="185"/>
      <c r="B161" s="186"/>
      <c r="C161" s="186"/>
      <c r="D161" s="187"/>
      <c r="E161" s="184"/>
      <c r="F161" s="188"/>
      <c r="G161" s="186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</row>
    <row r="162" spans="1:39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</row>
    <row r="163" spans="1:39">
      <c r="A163" s="44">
        <f>I31</f>
        <v>481.09090909090907</v>
      </c>
      <c r="B163" s="34">
        <v>6</v>
      </c>
      <c r="C163" s="38">
        <v>0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</row>
    <row r="164" spans="1:39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</row>
    <row r="165" spans="1:39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</row>
    <row r="166" spans="1:39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</row>
    <row r="167" spans="1:39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9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9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12" sqref="J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12" sqref="J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150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ilha32">
    <tabColor rgb="FF92D050"/>
  </sheetPr>
  <dimension ref="A1:AI169"/>
  <sheetViews>
    <sheetView view="pageBreakPreview" zoomScaleNormal="96" zoomScaleSheetLayoutView="100" workbookViewId="0">
      <selection activeCell="L18" sqref="L18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162"/>
    </row>
    <row r="10" spans="1:9">
      <c r="A10" s="152" t="s">
        <v>12</v>
      </c>
      <c r="B10" s="648" t="s">
        <v>332</v>
      </c>
      <c r="C10" s="648"/>
      <c r="D10" s="648"/>
      <c r="E10" s="648"/>
      <c r="F10" s="648"/>
      <c r="G10" s="648"/>
      <c r="H10" s="648"/>
      <c r="I10" s="152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5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5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5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5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5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5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</row>
    <row r="23" spans="1:35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</row>
    <row r="24" spans="1:35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</row>
    <row r="25" spans="1:35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</row>
    <row r="26" spans="1:35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</row>
    <row r="27" spans="1:35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</row>
    <row r="28" spans="1:35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5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</row>
    <row r="30" spans="1:35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</row>
    <row r="31" spans="1:35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</row>
    <row r="32" spans="1:35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</row>
    <row r="33" spans="1:35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</row>
    <row r="34" spans="1:35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</row>
    <row r="35" spans="1:35">
      <c r="A35" s="9" t="s">
        <v>15</v>
      </c>
      <c r="B35" s="645" t="s">
        <v>43</v>
      </c>
      <c r="C35" s="645"/>
      <c r="D35" s="645"/>
      <c r="E35" s="645"/>
      <c r="F35" s="645"/>
      <c r="G35" s="645"/>
      <c r="H35" s="17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</row>
    <row r="36" spans="1:35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</row>
    <row r="37" spans="1:35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</row>
    <row r="38" spans="1:35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</row>
    <row r="39" spans="1:35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</row>
    <row r="40" spans="1:35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</row>
    <row r="41" spans="1:35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</row>
    <row r="42" spans="1:35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</row>
    <row r="43" spans="1:35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</row>
    <row r="44" spans="1:35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</row>
    <row r="45" spans="1:35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</row>
    <row r="46" spans="1:35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</row>
    <row r="47" spans="1:35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</row>
    <row r="48" spans="1:35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</row>
    <row r="49" spans="1:35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</row>
    <row r="50" spans="1:35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</row>
    <row r="51" spans="1:35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</row>
    <row r="52" spans="1:35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</row>
    <row r="53" spans="1:35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</row>
    <row r="54" spans="1:35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</row>
    <row r="55" spans="1:35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</row>
    <row r="56" spans="1:35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</row>
    <row r="57" spans="1:35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</row>
    <row r="58" spans="1:35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</row>
    <row r="59" spans="1:35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</row>
    <row r="60" spans="1:35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</row>
    <row r="61" spans="1:35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f>C166</f>
        <v>0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</row>
    <row r="62" spans="1:35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</row>
    <row r="63" spans="1:35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</row>
    <row r="64" spans="1:35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</row>
    <row r="65" spans="1:35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</row>
    <row r="66" spans="1:35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</row>
    <row r="67" spans="1:35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</row>
    <row r="68" spans="1:35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</row>
    <row r="69" spans="1:35">
      <c r="A69" s="9" t="s">
        <v>89</v>
      </c>
      <c r="B69" s="660" t="s">
        <v>149</v>
      </c>
      <c r="C69" s="660"/>
      <c r="D69" s="660"/>
      <c r="E69" s="660"/>
      <c r="F69" s="660"/>
      <c r="G69" s="660"/>
      <c r="H69" s="176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</row>
    <row r="70" spans="1:35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176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</row>
    <row r="71" spans="1:35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</row>
    <row r="72" spans="1:35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</row>
    <row r="73" spans="1:35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</row>
    <row r="74" spans="1:35">
      <c r="A74" s="95"/>
      <c r="B74" s="95"/>
      <c r="C74" s="95"/>
      <c r="D74" s="95"/>
      <c r="E74" s="95"/>
      <c r="F74" s="95"/>
      <c r="G74" s="95"/>
      <c r="H74" s="95"/>
      <c r="I74" s="11"/>
    </row>
    <row r="75" spans="1:35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5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5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5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5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35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11.993655711965348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55.355334055224688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0.04</v>
      </c>
      <c r="I135" s="209">
        <f>(I145+I124+I125)/(1-SUM(E128:H135))*H135</f>
        <v>73.807112073632922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0.19440000000000002</v>
      </c>
      <c r="I136" s="10">
        <f>TRUNC(SUM(I124:I135),4)</f>
        <v>325.47609999999997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5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35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325.47609999999997</v>
      </c>
    </row>
    <row r="147" spans="1:35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1845.1777999999999</v>
      </c>
    </row>
    <row r="148" spans="1:35">
      <c r="A148" s="5"/>
      <c r="B148" s="5"/>
      <c r="C148" s="5"/>
      <c r="D148" s="5"/>
      <c r="E148" s="5"/>
      <c r="F148" s="5"/>
      <c r="G148" s="5"/>
      <c r="H148" s="5"/>
      <c r="I148" s="69"/>
    </row>
    <row r="149" spans="1:35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5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5" ht="27.65" customHeight="1">
      <c r="A151" s="681" t="str">
        <f>I23</f>
        <v>Limpeza</v>
      </c>
      <c r="B151" s="682"/>
      <c r="C151" s="683">
        <f>(I147-I117)</f>
        <v>1845.1777999999999</v>
      </c>
      <c r="D151" s="683"/>
      <c r="E151" s="72">
        <v>1</v>
      </c>
      <c r="F151" s="683">
        <f>(I147-I117)</f>
        <v>1845.1777999999999</v>
      </c>
      <c r="G151" s="683"/>
      <c r="H151" s="72">
        <v>1</v>
      </c>
      <c r="I151" s="141">
        <f>F151*H151</f>
        <v>1845.1777999999999</v>
      </c>
    </row>
    <row r="152" spans="1:35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5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1845.1777999999999</v>
      </c>
    </row>
    <row r="154" spans="1:35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22142.133600000001</v>
      </c>
    </row>
    <row r="155" spans="1:35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5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</row>
    <row r="157" spans="1:35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</row>
    <row r="158" spans="1:35">
      <c r="A158" s="786" t="s">
        <v>317</v>
      </c>
      <c r="B158" s="771"/>
      <c r="C158" s="771"/>
      <c r="D158" s="771"/>
      <c r="E158" s="184"/>
      <c r="F158" s="771" t="s">
        <v>317</v>
      </c>
      <c r="G158" s="771"/>
      <c r="H158" s="771"/>
      <c r="I158" s="787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</row>
    <row r="159" spans="1:35">
      <c r="A159" s="189" t="s">
        <v>133</v>
      </c>
      <c r="B159" s="182" t="s">
        <v>142</v>
      </c>
      <c r="C159" s="182" t="s">
        <v>134</v>
      </c>
      <c r="D159" s="182" t="s">
        <v>24</v>
      </c>
      <c r="E159" s="184"/>
      <c r="F159" s="182" t="s">
        <v>133</v>
      </c>
      <c r="G159" s="182" t="s">
        <v>142</v>
      </c>
      <c r="H159" s="182" t="s">
        <v>134</v>
      </c>
      <c r="I159" s="191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</row>
    <row r="160" spans="1:35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173">
        <v>26.833300000000001</v>
      </c>
      <c r="G160" s="182">
        <v>1</v>
      </c>
      <c r="H160" s="182">
        <v>13</v>
      </c>
      <c r="I160" s="192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</row>
    <row r="161" spans="1:35">
      <c r="A161" s="77"/>
      <c r="B161" s="78"/>
      <c r="C161" s="79"/>
      <c r="D161" s="80"/>
      <c r="E161" s="184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</row>
    <row r="162" spans="1:35" ht="18.649999999999999" customHeight="1">
      <c r="A162" s="33" t="s">
        <v>33</v>
      </c>
      <c r="B162" s="34" t="s">
        <v>3</v>
      </c>
      <c r="C162" s="34" t="s">
        <v>24</v>
      </c>
      <c r="D162" s="41" t="s">
        <v>539</v>
      </c>
      <c r="E162" s="184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</row>
    <row r="163" spans="1:35">
      <c r="A163" s="44">
        <f>I31</f>
        <v>481.09090909090907</v>
      </c>
      <c r="B163" s="34"/>
      <c r="C163" s="38">
        <f>A163*B163/100</f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</row>
    <row r="164" spans="1:35">
      <c r="A164" s="46"/>
      <c r="B164" s="40"/>
      <c r="C164" s="40"/>
      <c r="D164" s="41"/>
      <c r="E164" s="184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</row>
    <row r="165" spans="1:35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</row>
    <row r="166" spans="1:35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9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</row>
    <row r="167" spans="1:35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5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5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2" sqref="K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2" sqref="K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5" firstPageNumber="0" orientation="portrait" verticalDpi="300" r:id="rId6"/>
  <headerFooter alignWithMargins="0"/>
  <rowBreaks count="1" manualBreakCount="1">
    <brk id="91" max="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ilha33">
    <tabColor rgb="FF92D050"/>
  </sheetPr>
  <dimension ref="A1:AO169"/>
  <sheetViews>
    <sheetView view="pageBreakPreview" zoomScaleNormal="96" zoomScaleSheetLayoutView="100" workbookViewId="0">
      <selection activeCell="L27" sqref="L27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331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</row>
    <row r="24" spans="1:4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</row>
    <row r="25" spans="1:4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</row>
    <row r="26" spans="1:4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</row>
    <row r="27" spans="1:4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</row>
    <row r="28" spans="1:41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</row>
    <row r="29" spans="1:41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</row>
    <row r="30" spans="1:4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</row>
    <row r="31" spans="1:4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</row>
    <row r="32" spans="1:41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</row>
    <row r="33" spans="1:41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</row>
    <row r="34" spans="1:41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</row>
    <row r="35" spans="1:41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</row>
    <row r="36" spans="1:41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</row>
    <row r="37" spans="1:4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</row>
    <row r="38" spans="1:4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</row>
    <row r="39" spans="1:41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</row>
    <row r="40" spans="1:4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</row>
    <row r="41" spans="1:4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</row>
    <row r="42" spans="1:4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</row>
    <row r="43" spans="1:4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</row>
    <row r="44" spans="1:4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</row>
    <row r="45" spans="1:4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</row>
    <row r="46" spans="1:41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</row>
    <row r="47" spans="1:4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</row>
    <row r="48" spans="1:4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</row>
    <row r="49" spans="1:4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</row>
    <row r="50" spans="1:4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</row>
    <row r="51" spans="1:4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</row>
    <row r="52" spans="1:4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</row>
    <row r="53" spans="1:4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</row>
    <row r="54" spans="1:4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</row>
    <row r="55" spans="1:4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</row>
    <row r="56" spans="1:4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</row>
    <row r="57" spans="1:4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</row>
    <row r="58" spans="1:41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</row>
    <row r="59" spans="1:4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</row>
    <row r="60" spans="1:4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</row>
    <row r="61" spans="1:4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4.75</v>
      </c>
      <c r="I61" s="70">
        <f>C166</f>
        <v>94.63454545454546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</row>
    <row r="62" spans="1:4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</row>
    <row r="63" spans="1:4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</row>
    <row r="64" spans="1:4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</row>
    <row r="65" spans="1:4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</row>
    <row r="66" spans="1:4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</row>
    <row r="67" spans="1:4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</row>
    <row r="68" spans="1:4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517.20079999999996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>
      <c r="A74" s="95"/>
      <c r="B74" s="95"/>
      <c r="C74" s="95"/>
      <c r="D74" s="95"/>
      <c r="E74" s="95"/>
      <c r="F74" s="95"/>
      <c r="G74" s="95"/>
      <c r="H74" s="95"/>
      <c r="I74" s="11"/>
    </row>
    <row r="75" spans="1:4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517.20079999999996</v>
      </c>
    </row>
    <row r="80" spans="1:4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767.36059999999998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106.68851666666666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21.33770333333333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0.4554285259141333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0.23471473666666665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1.8272670685403904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130.5436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130.5436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130.5436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81.19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115.78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12.9569925561029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59.801504105090309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99.669173508483865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369.39760000000001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767.36059999999998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130.5436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1623.9857999999999</v>
      </c>
    </row>
    <row r="146" spans="1:4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369.39760000000001</v>
      </c>
    </row>
    <row r="147" spans="1:4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1993.3833999999999</v>
      </c>
    </row>
    <row r="148" spans="1:41">
      <c r="A148" s="5"/>
      <c r="B148" s="5"/>
      <c r="C148" s="5"/>
      <c r="D148" s="5"/>
      <c r="E148" s="5"/>
      <c r="F148" s="5"/>
      <c r="G148" s="5"/>
      <c r="H148" s="5"/>
      <c r="I148" s="69"/>
    </row>
    <row r="149" spans="1:4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1" ht="27.65" customHeight="1">
      <c r="A151" s="681" t="str">
        <f>I23</f>
        <v>Limpeza</v>
      </c>
      <c r="B151" s="682"/>
      <c r="C151" s="683">
        <f>(I147-I117)</f>
        <v>1993.3833999999999</v>
      </c>
      <c r="D151" s="683"/>
      <c r="E151" s="72">
        <v>1</v>
      </c>
      <c r="F151" s="683">
        <f>(I147-I117)</f>
        <v>1993.3833999999999</v>
      </c>
      <c r="G151" s="683"/>
      <c r="H151" s="72">
        <v>1</v>
      </c>
      <c r="I151" s="141">
        <f>F151*H151</f>
        <v>1993.3833999999999</v>
      </c>
    </row>
    <row r="152" spans="1:4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1993.3833999999999</v>
      </c>
    </row>
    <row r="154" spans="1:4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23920.6008</v>
      </c>
    </row>
    <row r="155" spans="1:4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</row>
    <row r="157" spans="1:4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</row>
    <row r="158" spans="1:4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</row>
    <row r="159" spans="1:4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</row>
    <row r="160" spans="1:41">
      <c r="A160" s="180">
        <v>4.75</v>
      </c>
      <c r="B160" s="182">
        <v>1</v>
      </c>
      <c r="C160" s="182">
        <v>26</v>
      </c>
      <c r="D160" s="183">
        <f>A160*B160*C160</f>
        <v>123.5</v>
      </c>
      <c r="E160" s="184"/>
      <c r="F160" s="173">
        <v>26.833300000000001</v>
      </c>
      <c r="G160" s="182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</row>
    <row r="161" spans="1:41">
      <c r="A161" s="77"/>
      <c r="B161" s="78"/>
      <c r="C161" s="79"/>
      <c r="D161" s="80"/>
      <c r="E161" s="32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</row>
    <row r="162" spans="1:4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</row>
    <row r="163" spans="1:4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</row>
    <row r="164" spans="1:41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</row>
    <row r="165" spans="1:4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</row>
    <row r="166" spans="1:41" ht="26.25" customHeight="1" thickBot="1">
      <c r="A166" s="44">
        <f>D160</f>
        <v>123.5</v>
      </c>
      <c r="B166" s="50">
        <f>C163</f>
        <v>28.865454545454543</v>
      </c>
      <c r="C166" s="51">
        <f>A166-B166</f>
        <v>94.63454545454546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</row>
    <row r="167" spans="1:4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21" sqref="K2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21" sqref="K2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Planilha35">
    <tabColor rgb="FF92D050"/>
  </sheetPr>
  <dimension ref="A1:AQ169"/>
  <sheetViews>
    <sheetView view="pageBreakPreview" zoomScaleNormal="96" zoomScaleSheetLayoutView="100" workbookViewId="0">
      <selection activeCell="N21" sqref="N21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1" max="11" width="5" customWidth="1"/>
    <col min="34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330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3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3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3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3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3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3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AH22" s="84"/>
      <c r="AI22" s="84"/>
      <c r="AJ22" s="84"/>
      <c r="AK22" s="84"/>
      <c r="AL22" s="84"/>
      <c r="AM22" s="84"/>
      <c r="AN22" s="84"/>
      <c r="AO22" s="84"/>
      <c r="AP22" s="84"/>
      <c r="AQ22" s="84"/>
    </row>
    <row r="23" spans="1:43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AH23" s="84"/>
      <c r="AI23" s="84"/>
      <c r="AJ23" s="84"/>
      <c r="AK23" s="84"/>
      <c r="AL23" s="84"/>
      <c r="AM23" s="84"/>
      <c r="AN23" s="84"/>
      <c r="AO23" s="84"/>
      <c r="AP23" s="84"/>
      <c r="AQ23" s="84"/>
    </row>
    <row r="24" spans="1:43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AH24" s="84"/>
      <c r="AI24" s="84"/>
      <c r="AJ24" s="84"/>
      <c r="AK24" s="84"/>
      <c r="AL24" s="84"/>
      <c r="AM24" s="84"/>
      <c r="AN24" s="84"/>
      <c r="AO24" s="84"/>
      <c r="AP24" s="84"/>
      <c r="AQ24" s="84"/>
    </row>
    <row r="25" spans="1:43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AH25" s="84"/>
      <c r="AI25" s="84"/>
      <c r="AJ25" s="84"/>
      <c r="AK25" s="84"/>
      <c r="AL25" s="84"/>
      <c r="AM25" s="84"/>
      <c r="AN25" s="84"/>
      <c r="AO25" s="84"/>
      <c r="AP25" s="84"/>
      <c r="AQ25" s="84"/>
    </row>
    <row r="26" spans="1:43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AH26" s="84"/>
      <c r="AI26" s="84"/>
      <c r="AJ26" s="84"/>
      <c r="AK26" s="84"/>
      <c r="AL26" s="84"/>
      <c r="AM26" s="84"/>
      <c r="AN26" s="84"/>
      <c r="AO26" s="84"/>
      <c r="AP26" s="84"/>
      <c r="AQ26" s="84"/>
    </row>
    <row r="27" spans="1:43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AH27" s="84"/>
      <c r="AI27" s="84"/>
      <c r="AJ27" s="84"/>
      <c r="AK27" s="84"/>
      <c r="AL27" s="84"/>
      <c r="AM27" s="84"/>
      <c r="AN27" s="84"/>
      <c r="AO27" s="84"/>
      <c r="AP27" s="84"/>
      <c r="AQ27" s="84"/>
    </row>
    <row r="28" spans="1:43">
      <c r="A28" s="143"/>
      <c r="B28" s="3"/>
      <c r="C28" s="3"/>
      <c r="D28" s="3"/>
      <c r="E28" s="3"/>
      <c r="F28" s="3"/>
      <c r="G28" s="3"/>
      <c r="H28" s="3"/>
      <c r="I28" s="6"/>
      <c r="AH28" s="84"/>
      <c r="AI28" s="84"/>
      <c r="AJ28" s="84"/>
      <c r="AK28" s="84"/>
      <c r="AL28" s="84"/>
      <c r="AM28" s="84"/>
      <c r="AN28" s="84"/>
      <c r="AO28" s="84"/>
      <c r="AP28" s="84"/>
      <c r="AQ28" s="84"/>
    </row>
    <row r="29" spans="1:43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AH29" s="84"/>
      <c r="AI29" s="84"/>
      <c r="AJ29" s="84"/>
      <c r="AK29" s="84"/>
      <c r="AL29" s="84"/>
      <c r="AM29" s="84"/>
      <c r="AN29" s="84"/>
      <c r="AO29" s="84"/>
      <c r="AP29" s="84"/>
      <c r="AQ29" s="84"/>
    </row>
    <row r="30" spans="1:43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AH30" s="84"/>
      <c r="AI30" s="84"/>
      <c r="AJ30" s="84"/>
      <c r="AK30" s="84"/>
      <c r="AL30" s="84"/>
      <c r="AM30" s="84"/>
      <c r="AN30" s="84"/>
      <c r="AO30" s="84"/>
      <c r="AP30" s="84"/>
      <c r="AQ30" s="84"/>
    </row>
    <row r="31" spans="1:43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AH31" s="84"/>
      <c r="AI31" s="84"/>
      <c r="AJ31" s="84"/>
      <c r="AK31" s="84"/>
      <c r="AL31" s="84"/>
      <c r="AM31" s="84"/>
      <c r="AN31" s="84"/>
      <c r="AO31" s="84"/>
      <c r="AP31" s="84"/>
      <c r="AQ31" s="84"/>
    </row>
    <row r="32" spans="1:43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AH32" s="84"/>
      <c r="AI32" s="84"/>
      <c r="AJ32" s="84"/>
      <c r="AK32" s="84"/>
      <c r="AL32" s="84"/>
      <c r="AM32" s="84"/>
      <c r="AN32" s="84"/>
      <c r="AO32" s="84"/>
      <c r="AP32" s="84"/>
      <c r="AQ32" s="84"/>
    </row>
    <row r="33" spans="1:43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AH33" s="84"/>
      <c r="AI33" s="84"/>
      <c r="AJ33" s="84"/>
      <c r="AK33" s="84"/>
      <c r="AL33" s="84"/>
      <c r="AM33" s="84"/>
      <c r="AN33" s="84"/>
      <c r="AO33" s="84"/>
      <c r="AP33" s="84"/>
      <c r="AQ33" s="84"/>
    </row>
    <row r="34" spans="1:43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</row>
    <row r="35" spans="1:43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AH35" s="84"/>
      <c r="AI35" s="84"/>
      <c r="AJ35" s="84"/>
      <c r="AK35" s="84"/>
      <c r="AL35" s="84"/>
      <c r="AM35" s="84"/>
      <c r="AN35" s="84"/>
      <c r="AO35" s="84"/>
      <c r="AP35" s="84"/>
      <c r="AQ35" s="84"/>
    </row>
    <row r="36" spans="1:43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AH36" s="84"/>
      <c r="AI36" s="84"/>
      <c r="AJ36" s="84"/>
      <c r="AK36" s="84"/>
      <c r="AL36" s="84"/>
      <c r="AM36" s="84"/>
      <c r="AN36" s="84"/>
      <c r="AO36" s="84"/>
      <c r="AP36" s="84"/>
      <c r="AQ36" s="84"/>
    </row>
    <row r="37" spans="1:43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AH37" s="84"/>
      <c r="AI37" s="84"/>
      <c r="AJ37" s="84"/>
      <c r="AK37" s="84"/>
      <c r="AL37" s="84"/>
      <c r="AM37" s="84"/>
      <c r="AN37" s="84"/>
      <c r="AO37" s="84"/>
      <c r="AP37" s="84"/>
      <c r="AQ37" s="84"/>
    </row>
    <row r="38" spans="1:43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AH38" s="84"/>
      <c r="AI38" s="84"/>
      <c r="AJ38" s="84"/>
      <c r="AK38" s="84"/>
      <c r="AL38" s="84"/>
      <c r="AM38" s="84"/>
      <c r="AN38" s="84"/>
      <c r="AO38" s="84"/>
      <c r="AP38" s="84"/>
      <c r="AQ38" s="84"/>
    </row>
    <row r="39" spans="1:43">
      <c r="A39" s="95"/>
      <c r="B39" s="95"/>
      <c r="C39" s="95"/>
      <c r="D39" s="95"/>
      <c r="E39" s="95"/>
      <c r="F39" s="95"/>
      <c r="G39" s="95"/>
      <c r="H39" s="95"/>
      <c r="I39" s="11"/>
      <c r="AH39" s="84"/>
      <c r="AI39" s="84"/>
      <c r="AJ39" s="84"/>
      <c r="AK39" s="84"/>
      <c r="AL39" s="84"/>
      <c r="AM39" s="84"/>
      <c r="AN39" s="84"/>
      <c r="AO39" s="84"/>
      <c r="AP39" s="84"/>
      <c r="AQ39" s="84"/>
    </row>
    <row r="40" spans="1:43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AH40" s="84"/>
      <c r="AI40" s="84"/>
      <c r="AJ40" s="84"/>
      <c r="AK40" s="84"/>
      <c r="AL40" s="84"/>
      <c r="AM40" s="84"/>
      <c r="AN40" s="84"/>
      <c r="AO40" s="84"/>
      <c r="AP40" s="84"/>
      <c r="AQ40" s="84"/>
    </row>
    <row r="41" spans="1:43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AH41" s="84"/>
      <c r="AI41" s="84"/>
      <c r="AJ41" s="84"/>
      <c r="AK41" s="84"/>
      <c r="AL41" s="84"/>
      <c r="AM41" s="84"/>
      <c r="AN41" s="84"/>
      <c r="AO41" s="84"/>
      <c r="AP41" s="84"/>
      <c r="AQ41" s="84"/>
    </row>
    <row r="42" spans="1:43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AH42" s="84"/>
      <c r="AI42" s="84"/>
      <c r="AJ42" s="84"/>
      <c r="AK42" s="84"/>
      <c r="AL42" s="84"/>
      <c r="AM42" s="84"/>
      <c r="AN42" s="84"/>
      <c r="AO42" s="84"/>
      <c r="AP42" s="84"/>
      <c r="AQ42" s="84"/>
    </row>
    <row r="43" spans="1:43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AH43" s="84"/>
      <c r="AI43" s="84"/>
      <c r="AJ43" s="84"/>
      <c r="AK43" s="84"/>
      <c r="AL43" s="84"/>
      <c r="AM43" s="84"/>
      <c r="AN43" s="84"/>
      <c r="AO43" s="84"/>
      <c r="AP43" s="84"/>
      <c r="AQ43" s="84"/>
    </row>
    <row r="44" spans="1:43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AH44" s="84"/>
      <c r="AI44" s="84"/>
      <c r="AJ44" s="84"/>
      <c r="AK44" s="84"/>
      <c r="AL44" s="84"/>
      <c r="AM44" s="84"/>
      <c r="AN44" s="84"/>
      <c r="AO44" s="84"/>
      <c r="AP44" s="84"/>
      <c r="AQ44" s="84"/>
    </row>
    <row r="45" spans="1:43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AH45" s="84"/>
      <c r="AI45" s="84"/>
      <c r="AJ45" s="84"/>
      <c r="AK45" s="84"/>
      <c r="AL45" s="84"/>
      <c r="AM45" s="84"/>
      <c r="AN45" s="84"/>
      <c r="AO45" s="84"/>
      <c r="AP45" s="84"/>
      <c r="AQ45" s="84"/>
    </row>
    <row r="46" spans="1:43">
      <c r="A46" s="95"/>
      <c r="B46" s="95"/>
      <c r="C46" s="95"/>
      <c r="D46" s="95"/>
      <c r="E46" s="95"/>
      <c r="F46" s="95"/>
      <c r="G46" s="95"/>
      <c r="H46" s="15"/>
      <c r="I46" s="11"/>
      <c r="AH46" s="84"/>
      <c r="AI46" s="84"/>
      <c r="AJ46" s="84"/>
      <c r="AK46" s="84"/>
      <c r="AL46" s="84"/>
      <c r="AM46" s="84"/>
      <c r="AN46" s="84"/>
      <c r="AO46" s="84"/>
      <c r="AP46" s="84"/>
      <c r="AQ46" s="84"/>
    </row>
    <row r="47" spans="1:43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AH47" s="84"/>
      <c r="AI47" s="84"/>
      <c r="AJ47" s="84"/>
      <c r="AK47" s="84"/>
      <c r="AL47" s="84"/>
      <c r="AM47" s="84"/>
      <c r="AN47" s="84"/>
      <c r="AO47" s="84"/>
      <c r="AP47" s="84"/>
      <c r="AQ47" s="84"/>
    </row>
    <row r="48" spans="1:43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AH48" s="84"/>
      <c r="AI48" s="84"/>
      <c r="AJ48" s="84"/>
      <c r="AK48" s="84"/>
      <c r="AL48" s="84"/>
      <c r="AM48" s="84"/>
      <c r="AN48" s="84"/>
      <c r="AO48" s="84"/>
      <c r="AP48" s="84"/>
      <c r="AQ48" s="84"/>
    </row>
    <row r="49" spans="1:43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AH49" s="84"/>
      <c r="AI49" s="84"/>
      <c r="AJ49" s="84"/>
      <c r="AK49" s="84"/>
      <c r="AL49" s="84"/>
      <c r="AM49" s="84"/>
      <c r="AN49" s="84"/>
      <c r="AO49" s="84"/>
      <c r="AP49" s="84"/>
      <c r="AQ49" s="84"/>
    </row>
    <row r="50" spans="1:43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AH50" s="84"/>
      <c r="AI50" s="84"/>
      <c r="AJ50" s="84"/>
      <c r="AK50" s="84"/>
      <c r="AL50" s="84"/>
      <c r="AM50" s="84"/>
      <c r="AN50" s="84"/>
      <c r="AO50" s="84"/>
      <c r="AP50" s="84"/>
      <c r="AQ50" s="84"/>
    </row>
    <row r="51" spans="1:43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AH51" s="84"/>
      <c r="AI51" s="84"/>
      <c r="AJ51" s="84"/>
      <c r="AK51" s="84"/>
      <c r="AL51" s="84"/>
      <c r="AM51" s="84"/>
      <c r="AN51" s="84"/>
      <c r="AO51" s="84"/>
      <c r="AP51" s="84"/>
      <c r="AQ51" s="84"/>
    </row>
    <row r="52" spans="1:43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AH52" s="84"/>
      <c r="AI52" s="84"/>
      <c r="AJ52" s="84"/>
      <c r="AK52" s="84"/>
      <c r="AL52" s="84"/>
      <c r="AM52" s="84"/>
      <c r="AN52" s="84"/>
      <c r="AO52" s="84"/>
      <c r="AP52" s="84"/>
      <c r="AQ52" s="84"/>
    </row>
    <row r="53" spans="1:43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AH53" s="84"/>
      <c r="AI53" s="84"/>
      <c r="AJ53" s="84"/>
      <c r="AK53" s="84"/>
      <c r="AL53" s="84"/>
      <c r="AM53" s="84"/>
      <c r="AN53" s="84"/>
      <c r="AO53" s="84"/>
      <c r="AP53" s="84"/>
      <c r="AQ53" s="84"/>
    </row>
    <row r="54" spans="1:43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AH54" s="84"/>
      <c r="AI54" s="84"/>
      <c r="AJ54" s="84"/>
      <c r="AK54" s="84"/>
      <c r="AL54" s="84"/>
      <c r="AM54" s="84"/>
      <c r="AN54" s="84"/>
      <c r="AO54" s="84"/>
      <c r="AP54" s="84"/>
      <c r="AQ54" s="84"/>
    </row>
    <row r="55" spans="1:43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AH55" s="84"/>
      <c r="AI55" s="84"/>
      <c r="AJ55" s="84"/>
      <c r="AK55" s="84"/>
      <c r="AL55" s="84"/>
      <c r="AM55" s="84"/>
      <c r="AN55" s="84"/>
      <c r="AO55" s="84"/>
      <c r="AP55" s="84"/>
      <c r="AQ55" s="84"/>
    </row>
    <row r="56" spans="1:43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AH56" s="84"/>
      <c r="AI56" s="84"/>
      <c r="AJ56" s="84"/>
      <c r="AK56" s="84"/>
      <c r="AL56" s="84"/>
      <c r="AM56" s="84"/>
      <c r="AN56" s="84"/>
      <c r="AO56" s="84"/>
      <c r="AP56" s="84"/>
      <c r="AQ56" s="84"/>
    </row>
    <row r="57" spans="1:43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AH57" s="84"/>
      <c r="AI57" s="84"/>
      <c r="AJ57" s="84"/>
      <c r="AK57" s="84"/>
      <c r="AL57" s="84"/>
      <c r="AM57" s="84"/>
      <c r="AN57" s="84"/>
      <c r="AO57" s="84"/>
      <c r="AP57" s="84"/>
      <c r="AQ57" s="84"/>
    </row>
    <row r="58" spans="1:43">
      <c r="A58" s="16"/>
      <c r="B58" s="16"/>
      <c r="C58" s="16"/>
      <c r="D58" s="16"/>
      <c r="E58" s="16"/>
      <c r="F58" s="16"/>
      <c r="G58" s="16"/>
      <c r="H58" s="17"/>
      <c r="I58" s="18"/>
      <c r="AH58" s="84"/>
      <c r="AI58" s="84"/>
      <c r="AJ58" s="84"/>
      <c r="AK58" s="84"/>
      <c r="AL58" s="84"/>
      <c r="AM58" s="84"/>
      <c r="AN58" s="84"/>
      <c r="AO58" s="84"/>
      <c r="AP58" s="84"/>
      <c r="AQ58" s="84"/>
    </row>
    <row r="59" spans="1:43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AH59" s="84"/>
      <c r="AI59" s="84"/>
      <c r="AJ59" s="84"/>
      <c r="AK59" s="84"/>
      <c r="AL59" s="84"/>
      <c r="AM59" s="84"/>
      <c r="AN59" s="84"/>
      <c r="AO59" s="84"/>
      <c r="AP59" s="84"/>
      <c r="AQ59" s="84"/>
    </row>
    <row r="60" spans="1:43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AH60" s="84"/>
      <c r="AI60" s="84"/>
      <c r="AJ60" s="84"/>
      <c r="AK60" s="84"/>
      <c r="AL60" s="84"/>
      <c r="AM60" s="84"/>
      <c r="AN60" s="84"/>
      <c r="AO60" s="84"/>
      <c r="AP60" s="84"/>
      <c r="AQ60" s="84"/>
    </row>
    <row r="61" spans="1:43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v>0</v>
      </c>
      <c r="AH61" s="84"/>
      <c r="AI61" s="84"/>
      <c r="AJ61" s="84"/>
      <c r="AK61" s="84"/>
      <c r="AL61" s="84"/>
      <c r="AM61" s="84"/>
      <c r="AN61" s="84"/>
      <c r="AO61" s="84"/>
      <c r="AP61" s="84"/>
      <c r="AQ61" s="84"/>
    </row>
    <row r="62" spans="1:43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AH62" s="84"/>
      <c r="AI62" s="84"/>
      <c r="AJ62" s="84"/>
      <c r="AK62" s="84"/>
      <c r="AL62" s="84"/>
      <c r="AM62" s="84"/>
      <c r="AN62" s="84"/>
      <c r="AO62" s="84"/>
      <c r="AP62" s="84"/>
      <c r="AQ62" s="84"/>
    </row>
    <row r="63" spans="1:43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AH63" s="84"/>
      <c r="AI63" s="84"/>
      <c r="AJ63" s="84"/>
      <c r="AK63" s="84"/>
      <c r="AL63" s="84"/>
      <c r="AM63" s="84"/>
      <c r="AN63" s="84"/>
      <c r="AO63" s="84"/>
      <c r="AP63" s="84"/>
      <c r="AQ63" s="84"/>
    </row>
    <row r="64" spans="1:43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AH64" s="84"/>
      <c r="AI64" s="84"/>
      <c r="AJ64" s="84"/>
      <c r="AK64" s="84"/>
      <c r="AL64" s="84"/>
      <c r="AM64" s="84"/>
      <c r="AN64" s="84"/>
      <c r="AO64" s="84"/>
      <c r="AP64" s="84"/>
      <c r="AQ64" s="84"/>
    </row>
    <row r="65" spans="1:43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AH65" s="84"/>
      <c r="AI65" s="84"/>
      <c r="AJ65" s="84"/>
      <c r="AK65" s="84"/>
      <c r="AL65" s="84"/>
      <c r="AM65" s="84"/>
      <c r="AN65" s="84"/>
      <c r="AO65" s="84"/>
      <c r="AP65" s="84"/>
      <c r="AQ65" s="84"/>
    </row>
    <row r="66" spans="1:43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AH66" s="84"/>
      <c r="AI66" s="84"/>
      <c r="AJ66" s="84"/>
      <c r="AK66" s="84"/>
      <c r="AL66" s="84"/>
      <c r="AM66" s="84"/>
      <c r="AN66" s="84"/>
      <c r="AO66" s="84"/>
      <c r="AP66" s="84"/>
      <c r="AQ66" s="84"/>
    </row>
    <row r="67" spans="1:43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AH67" s="84"/>
      <c r="AI67" s="84"/>
      <c r="AJ67" s="84"/>
      <c r="AK67" s="84"/>
      <c r="AL67" s="84"/>
      <c r="AM67" s="84"/>
      <c r="AN67" s="84"/>
      <c r="AO67" s="84"/>
      <c r="AP67" s="84"/>
      <c r="AQ67" s="84"/>
    </row>
    <row r="68" spans="1:43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AH68" s="84"/>
      <c r="AI68" s="84"/>
      <c r="AJ68" s="84"/>
      <c r="AK68" s="84"/>
      <c r="AL68" s="84"/>
      <c r="AM68" s="84"/>
      <c r="AN68" s="84"/>
      <c r="AO68" s="84"/>
      <c r="AP68" s="84"/>
      <c r="AQ68" s="84"/>
    </row>
    <row r="69" spans="1:43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AH69" s="84"/>
      <c r="AI69" s="84"/>
      <c r="AJ69" s="84"/>
      <c r="AK69" s="84"/>
      <c r="AL69" s="84"/>
      <c r="AM69" s="84"/>
      <c r="AN69" s="84"/>
      <c r="AO69" s="84"/>
      <c r="AP69" s="84"/>
      <c r="AQ69" s="84"/>
    </row>
    <row r="70" spans="1:43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AH70" s="84"/>
      <c r="AI70" s="84"/>
      <c r="AJ70" s="84"/>
      <c r="AK70" s="84"/>
      <c r="AL70" s="84"/>
      <c r="AM70" s="84"/>
      <c r="AN70" s="84"/>
      <c r="AO70" s="84"/>
      <c r="AP70" s="84"/>
      <c r="AQ70" s="84"/>
    </row>
    <row r="71" spans="1:43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AH71" s="84"/>
      <c r="AI71" s="84"/>
      <c r="AJ71" s="84"/>
      <c r="AK71" s="84"/>
      <c r="AL71" s="84"/>
      <c r="AM71" s="84"/>
      <c r="AN71" s="84"/>
      <c r="AO71" s="84"/>
      <c r="AP71" s="84"/>
      <c r="AQ71" s="84"/>
    </row>
    <row r="72" spans="1:43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AH72" s="84"/>
      <c r="AI72" s="84"/>
      <c r="AJ72" s="84"/>
      <c r="AK72" s="84"/>
      <c r="AL72" s="84"/>
      <c r="AM72" s="84"/>
      <c r="AN72" s="84"/>
      <c r="AO72" s="84"/>
      <c r="AP72" s="84"/>
      <c r="AQ72" s="84"/>
    </row>
    <row r="73" spans="1:43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AH73" s="84"/>
      <c r="AI73" s="84"/>
      <c r="AJ73" s="84"/>
      <c r="AK73" s="84"/>
      <c r="AL73" s="84"/>
      <c r="AM73" s="84"/>
      <c r="AN73" s="84"/>
      <c r="AO73" s="84"/>
      <c r="AP73" s="84"/>
      <c r="AQ73" s="84"/>
    </row>
    <row r="74" spans="1:43">
      <c r="A74" s="95"/>
      <c r="B74" s="95"/>
      <c r="C74" s="95"/>
      <c r="D74" s="95"/>
      <c r="E74" s="95"/>
      <c r="F74" s="95"/>
      <c r="G74" s="95"/>
      <c r="H74" s="95"/>
      <c r="I74" s="11"/>
    </row>
    <row r="75" spans="1:43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3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3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3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3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43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/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11.865175200856989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54.762347080878413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54.762347080878413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305.70979999999997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3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43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305.70979999999997</v>
      </c>
    </row>
    <row r="147" spans="1:43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1825.4114999999999</v>
      </c>
    </row>
    <row r="148" spans="1:43">
      <c r="A148" s="5"/>
      <c r="B148" s="5"/>
      <c r="C148" s="5"/>
      <c r="D148" s="5"/>
      <c r="E148" s="5"/>
      <c r="F148" s="5"/>
      <c r="G148" s="5"/>
      <c r="H148" s="5"/>
      <c r="I148" s="69"/>
    </row>
    <row r="149" spans="1:43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3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3" ht="27.65" customHeight="1">
      <c r="A151" s="681" t="str">
        <f>I23</f>
        <v>Limpeza</v>
      </c>
      <c r="B151" s="682"/>
      <c r="C151" s="683">
        <f>(I147-I117)</f>
        <v>1825.4114999999999</v>
      </c>
      <c r="D151" s="683"/>
      <c r="E151" s="72">
        <v>1</v>
      </c>
      <c r="F151" s="683">
        <f>(I147-I117)</f>
        <v>1825.4114999999999</v>
      </c>
      <c r="G151" s="683"/>
      <c r="H151" s="72">
        <v>1</v>
      </c>
      <c r="I151" s="141">
        <f>F151*H151</f>
        <v>1825.4114999999999</v>
      </c>
    </row>
    <row r="152" spans="1:43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3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TRUNC((I151+I152),4)</f>
        <v>1825.4114999999999</v>
      </c>
    </row>
    <row r="154" spans="1:43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21904.937999999998</v>
      </c>
    </row>
    <row r="155" spans="1:43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3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</row>
    <row r="157" spans="1:43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</row>
    <row r="158" spans="1:43">
      <c r="A158" s="691" t="s">
        <v>317</v>
      </c>
      <c r="B158" s="692"/>
      <c r="C158" s="692"/>
      <c r="D158" s="692"/>
      <c r="E158" s="184"/>
      <c r="F158" s="692" t="s">
        <v>317</v>
      </c>
      <c r="G158" s="692"/>
      <c r="H158" s="692"/>
      <c r="I158" s="693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</row>
    <row r="159" spans="1:43">
      <c r="A159" s="33" t="s">
        <v>133</v>
      </c>
      <c r="B159" s="34" t="s">
        <v>142</v>
      </c>
      <c r="C159" s="34" t="s">
        <v>134</v>
      </c>
      <c r="D159" s="34" t="s">
        <v>24</v>
      </c>
      <c r="E159" s="184"/>
      <c r="F159" s="34" t="s">
        <v>133</v>
      </c>
      <c r="G159" s="34" t="s">
        <v>142</v>
      </c>
      <c r="H159" s="34" t="s">
        <v>134</v>
      </c>
      <c r="I159" s="35" t="s">
        <v>101</v>
      </c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</row>
    <row r="160" spans="1:43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203">
        <v>26.833300000000001</v>
      </c>
      <c r="G160" s="182">
        <v>1</v>
      </c>
      <c r="H160" s="37">
        <v>13</v>
      </c>
      <c r="I160" s="97">
        <f>F160*G160*H160</f>
        <v>348.8329</v>
      </c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</row>
    <row r="161" spans="1:43">
      <c r="A161" s="77"/>
      <c r="B161" s="78"/>
      <c r="C161" s="79"/>
      <c r="D161" s="80"/>
      <c r="E161" s="184"/>
      <c r="F161" s="81"/>
      <c r="G161" s="79"/>
      <c r="H161" s="79"/>
      <c r="I161" s="82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</row>
    <row r="162" spans="1:43" ht="18.649999999999999" customHeight="1">
      <c r="A162" s="33" t="s">
        <v>33</v>
      </c>
      <c r="B162" s="34" t="s">
        <v>3</v>
      </c>
      <c r="C162" s="34" t="s">
        <v>24</v>
      </c>
      <c r="D162" s="41"/>
      <c r="E162" s="184"/>
      <c r="F162" s="34" t="s">
        <v>24</v>
      </c>
      <c r="G162" s="34"/>
      <c r="H162" s="34" t="s">
        <v>24</v>
      </c>
      <c r="I162" s="43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</row>
    <row r="163" spans="1:43">
      <c r="A163" s="44">
        <f>I31</f>
        <v>481.09090909090907</v>
      </c>
      <c r="B163" s="34">
        <v>6</v>
      </c>
      <c r="C163" s="38"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</row>
    <row r="164" spans="1:43">
      <c r="A164" s="46"/>
      <c r="B164" s="40"/>
      <c r="C164" s="40"/>
      <c r="D164" s="41"/>
      <c r="E164" s="184"/>
      <c r="F164" s="42"/>
      <c r="G164" s="40"/>
      <c r="H164" s="40"/>
      <c r="I164" s="43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</row>
    <row r="165" spans="1:43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</row>
    <row r="166" spans="1:43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4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</row>
    <row r="167" spans="1:43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3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3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A38" sqref="A38:H3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A38" sqref="A38:H38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Planilha36">
    <tabColor rgb="FF92D050"/>
  </sheetPr>
  <dimension ref="A1:AE169"/>
  <sheetViews>
    <sheetView view="pageBreakPreview" zoomScaleNormal="96" zoomScaleSheetLayoutView="100" workbookViewId="0">
      <selection activeCell="N24" sqref="N24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329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60"/>
      <c r="B13" s="161"/>
      <c r="C13" s="161"/>
      <c r="D13" s="161"/>
      <c r="E13" s="161"/>
      <c r="F13" s="161"/>
      <c r="G13" s="161"/>
      <c r="H13" s="160"/>
      <c r="I13" s="160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1" ht="15" customHeight="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</row>
    <row r="23" spans="1:3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</row>
    <row r="24" spans="1:3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</row>
    <row r="25" spans="1:3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</row>
    <row r="27" spans="1:3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>
      <c r="A28" s="143"/>
      <c r="B28" s="3"/>
      <c r="C28" s="3"/>
      <c r="D28" s="3"/>
      <c r="E28" s="3"/>
      <c r="F28" s="3"/>
      <c r="G28" s="3"/>
      <c r="H28" s="3"/>
      <c r="I28" s="6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>
      <c r="A34" s="9" t="s">
        <v>14</v>
      </c>
      <c r="B34" s="645" t="s">
        <v>2</v>
      </c>
      <c r="C34" s="645"/>
      <c r="D34" s="645"/>
      <c r="E34" s="645"/>
      <c r="F34" s="645"/>
      <c r="G34" s="645"/>
      <c r="H34" s="178">
        <v>0</v>
      </c>
      <c r="I34" s="29">
        <v>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>
      <c r="A35" s="9" t="s">
        <v>15</v>
      </c>
      <c r="B35" s="645" t="s">
        <v>43</v>
      </c>
      <c r="C35" s="645"/>
      <c r="D35" s="645"/>
      <c r="E35" s="645"/>
      <c r="F35" s="645"/>
      <c r="G35" s="645"/>
      <c r="H35" s="178">
        <v>0</v>
      </c>
      <c r="I35" s="29">
        <v>0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>
      <c r="A36" s="9" t="s">
        <v>16</v>
      </c>
      <c r="B36" s="645" t="s">
        <v>44</v>
      </c>
      <c r="C36" s="645"/>
      <c r="D36" s="645"/>
      <c r="E36" s="645"/>
      <c r="F36" s="645"/>
      <c r="G36" s="645"/>
      <c r="H36" s="178">
        <v>0</v>
      </c>
      <c r="I36" s="29">
        <v>0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>
      <c r="A39" s="95"/>
      <c r="B39" s="95"/>
      <c r="C39" s="95"/>
      <c r="D39" s="95"/>
      <c r="E39" s="95"/>
      <c r="F39" s="95"/>
      <c r="G39" s="95"/>
      <c r="H39" s="95"/>
      <c r="I39" s="11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  <row r="44" spans="1:3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</row>
    <row r="45" spans="1:3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</row>
    <row r="46" spans="1:31">
      <c r="A46" s="95"/>
      <c r="B46" s="95"/>
      <c r="C46" s="95"/>
      <c r="D46" s="95"/>
      <c r="E46" s="95"/>
      <c r="F46" s="95"/>
      <c r="G46" s="95"/>
      <c r="H46" s="15"/>
      <c r="I46" s="1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</row>
    <row r="47" spans="1:31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</row>
    <row r="48" spans="1:3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</row>
    <row r="49" spans="1:3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</row>
    <row r="50" spans="1:3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</row>
    <row r="51" spans="1:3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</row>
    <row r="52" spans="1:3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</row>
    <row r="53" spans="1:3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</row>
    <row r="54" spans="1:3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</row>
    <row r="55" spans="1:3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</row>
    <row r="56" spans="1:3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</row>
    <row r="57" spans="1:3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</row>
    <row r="58" spans="1:31">
      <c r="A58" s="16"/>
      <c r="B58" s="16"/>
      <c r="C58" s="16"/>
      <c r="D58" s="16"/>
      <c r="E58" s="16"/>
      <c r="F58" s="16"/>
      <c r="G58" s="16"/>
      <c r="H58" s="17"/>
      <c r="I58" s="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</row>
    <row r="59" spans="1:3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</row>
    <row r="60" spans="1:3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</row>
    <row r="61" spans="1:3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4.8499999999999996</v>
      </c>
      <c r="I61" s="70">
        <f>C166</f>
        <v>97.234545454545454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</row>
    <row r="62" spans="1:3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</row>
    <row r="63" spans="1:3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</row>
    <row r="64" spans="1:3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</row>
    <row r="65" spans="1:3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</row>
    <row r="66" spans="1:3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</row>
    <row r="67" spans="1:3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</row>
    <row r="68" spans="1:3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</row>
    <row r="69" spans="1:3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</row>
    <row r="70" spans="1:3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</row>
    <row r="71" spans="1:3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</row>
    <row r="72" spans="1:3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</row>
    <row r="73" spans="1:3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519.80079999999998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</row>
    <row r="74" spans="1:31">
      <c r="A74" s="95"/>
      <c r="B74" s="95"/>
      <c r="C74" s="95"/>
      <c r="D74" s="95"/>
      <c r="E74" s="95"/>
      <c r="F74" s="95"/>
      <c r="G74" s="95"/>
      <c r="H74" s="95"/>
      <c r="I74" s="11"/>
    </row>
    <row r="75" spans="1:3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519.80079999999998</v>
      </c>
    </row>
    <row r="80" spans="1:3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769.9606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106.90518333333333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21.381036666666667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0.45635342564746667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0.23519140333333335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1.8309779446235908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130.80869999999999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130.80869999999999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130.80869999999999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81.34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115.98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12.701779164434919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58.623596143545782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7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58.623596143545782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327.26889999999997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769.9606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130.80869999999999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1626.8508999999999</v>
      </c>
    </row>
    <row r="146" spans="1:3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327.26889999999997</v>
      </c>
    </row>
    <row r="147" spans="1:3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1954.1197999999999</v>
      </c>
    </row>
    <row r="148" spans="1:31">
      <c r="A148" s="5"/>
      <c r="B148" s="5"/>
      <c r="C148" s="5"/>
      <c r="D148" s="5"/>
      <c r="E148" s="5"/>
      <c r="F148" s="5"/>
      <c r="G148" s="5"/>
      <c r="H148" s="5"/>
      <c r="I148" s="69"/>
    </row>
    <row r="149" spans="1:3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1" ht="27.65" customHeight="1">
      <c r="A151" s="681" t="str">
        <f>I23</f>
        <v>Limpeza</v>
      </c>
      <c r="B151" s="682"/>
      <c r="C151" s="683">
        <f>(I147-I117)</f>
        <v>1954.1197999999999</v>
      </c>
      <c r="D151" s="683"/>
      <c r="E151" s="72">
        <v>1</v>
      </c>
      <c r="F151" s="683">
        <f>(I147-I117)</f>
        <v>1954.1197999999999</v>
      </c>
      <c r="G151" s="683"/>
      <c r="H151" s="72">
        <v>1</v>
      </c>
      <c r="I151" s="141">
        <f>F151*H151</f>
        <v>1954.1197999999999</v>
      </c>
    </row>
    <row r="152" spans="1:3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1954.1197999999999</v>
      </c>
    </row>
    <row r="154" spans="1:3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23449.437600000001</v>
      </c>
    </row>
    <row r="155" spans="1:3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</row>
    <row r="157" spans="1:3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</row>
    <row r="158" spans="1:3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</row>
    <row r="159" spans="1:3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</row>
    <row r="160" spans="1:31">
      <c r="A160" s="180">
        <v>4.8499999999999996</v>
      </c>
      <c r="B160" s="182">
        <v>1</v>
      </c>
      <c r="C160" s="182">
        <v>26</v>
      </c>
      <c r="D160" s="183">
        <f>A160*B160*C160</f>
        <v>126.1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</row>
    <row r="161" spans="1:31">
      <c r="A161" s="77"/>
      <c r="B161" s="78"/>
      <c r="C161" s="79"/>
      <c r="D161" s="80"/>
      <c r="E161" s="32"/>
      <c r="F161" s="81"/>
      <c r="G161" s="79"/>
      <c r="H161" s="79"/>
      <c r="I161" s="82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</row>
    <row r="162" spans="1:3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</row>
    <row r="163" spans="1:3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</row>
    <row r="164" spans="1:31">
      <c r="A164" s="46"/>
      <c r="B164" s="40"/>
      <c r="C164" s="40"/>
      <c r="D164" s="41"/>
      <c r="E164" s="32"/>
      <c r="F164" s="42"/>
      <c r="G164" s="40"/>
      <c r="H164" s="40"/>
      <c r="I164" s="4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</row>
    <row r="165" spans="1:3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</row>
    <row r="166" spans="1:31" ht="26.25" customHeight="1" thickBot="1">
      <c r="A166" s="44">
        <f>D160</f>
        <v>126.1</v>
      </c>
      <c r="B166" s="50">
        <f>C163</f>
        <v>28.865454545454543</v>
      </c>
      <c r="C166" s="51">
        <f>A166-B166</f>
        <v>97.234545454545454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</row>
    <row r="167" spans="1:3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2" sqref="K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2" sqref="K12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ilha37">
    <tabColor rgb="FF92D050"/>
  </sheetPr>
  <dimension ref="A1:AL169"/>
  <sheetViews>
    <sheetView view="pageBreakPreview" zoomScaleNormal="96" zoomScaleSheetLayoutView="100" workbookViewId="0">
      <selection activeCell="J1" sqref="J1:J104857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328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43"/>
      <c r="B13" s="3"/>
      <c r="C13" s="3"/>
      <c r="D13" s="3"/>
      <c r="E13" s="3"/>
      <c r="F13" s="3"/>
      <c r="G13" s="3"/>
      <c r="H13" s="143"/>
      <c r="I13" s="14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38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38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38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38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38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38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</row>
    <row r="23" spans="1:38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</row>
    <row r="24" spans="1:38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</row>
    <row r="25" spans="1:38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</row>
    <row r="26" spans="1:38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</row>
    <row r="27" spans="1:38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</row>
    <row r="29" spans="1:38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</row>
    <row r="30" spans="1:38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</row>
    <row r="31" spans="1:38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</row>
    <row r="32" spans="1:38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</row>
    <row r="33" spans="1:38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</row>
    <row r="36" spans="1:38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</row>
    <row r="39" spans="1:38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1:38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</row>
    <row r="41" spans="1:38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</row>
    <row r="42" spans="1:38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</row>
    <row r="45" spans="1:38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</row>
    <row r="46" spans="1:38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</row>
    <row r="47" spans="1:38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</row>
    <row r="49" spans="1:38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</row>
    <row r="50" spans="1:38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</row>
    <row r="51" spans="1:38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</row>
    <row r="52" spans="1:38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</row>
    <row r="53" spans="1:38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</row>
    <row r="55" spans="1:38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</row>
    <row r="56" spans="1:38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</row>
    <row r="57" spans="1:38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</row>
    <row r="58" spans="1:38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</row>
    <row r="60" spans="1:38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</row>
    <row r="61" spans="1:38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v>0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</row>
    <row r="62" spans="1:38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</row>
    <row r="63" spans="1:38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</row>
    <row r="72" spans="1:38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</row>
    <row r="73" spans="1:38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>
      <c r="A74" s="95"/>
      <c r="B74" s="95"/>
      <c r="C74" s="95"/>
      <c r="D74" s="95"/>
      <c r="E74" s="95"/>
      <c r="F74" s="95"/>
      <c r="G74" s="95"/>
      <c r="H74" s="95"/>
      <c r="I74" s="11"/>
    </row>
    <row r="75" spans="1:38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8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8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8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8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38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11.865175200856989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54.762347080878413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54.762347080878413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305.70979999999997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8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38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305.70979999999997</v>
      </c>
    </row>
    <row r="147" spans="1:38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1825.4114999999999</v>
      </c>
    </row>
    <row r="148" spans="1:38">
      <c r="A148" s="5"/>
      <c r="B148" s="5"/>
      <c r="C148" s="5"/>
      <c r="D148" s="5"/>
      <c r="E148" s="5"/>
      <c r="F148" s="5"/>
      <c r="G148" s="5"/>
      <c r="H148" s="5"/>
      <c r="I148" s="69"/>
    </row>
    <row r="149" spans="1:38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8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8" ht="27.65" customHeight="1">
      <c r="A151" s="681" t="str">
        <f>I23</f>
        <v>Limpeza</v>
      </c>
      <c r="B151" s="682"/>
      <c r="C151" s="683">
        <f>(I147-I117)</f>
        <v>1825.4114999999999</v>
      </c>
      <c r="D151" s="683"/>
      <c r="E151" s="72">
        <v>1</v>
      </c>
      <c r="F151" s="683">
        <f>(I147-I117)</f>
        <v>1825.4114999999999</v>
      </c>
      <c r="G151" s="683"/>
      <c r="H151" s="72">
        <v>1</v>
      </c>
      <c r="I151" s="141">
        <f>F151*H151</f>
        <v>1825.4114999999999</v>
      </c>
    </row>
    <row r="152" spans="1:38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8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1825.4114999999999</v>
      </c>
    </row>
    <row r="154" spans="1:38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21904.937999999998</v>
      </c>
    </row>
    <row r="155" spans="1:38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8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</row>
    <row r="157" spans="1:38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</row>
    <row r="158" spans="1:38">
      <c r="A158" s="691" t="s">
        <v>317</v>
      </c>
      <c r="B158" s="692"/>
      <c r="C158" s="692"/>
      <c r="D158" s="692"/>
      <c r="E158" s="184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</row>
    <row r="159" spans="1:38">
      <c r="A159" s="33" t="s">
        <v>133</v>
      </c>
      <c r="B159" s="34" t="s">
        <v>142</v>
      </c>
      <c r="C159" s="34" t="s">
        <v>134</v>
      </c>
      <c r="D159" s="34" t="s">
        <v>24</v>
      </c>
      <c r="E159" s="184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</row>
    <row r="160" spans="1:38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</row>
    <row r="161" spans="1:38">
      <c r="A161" s="77"/>
      <c r="B161" s="78"/>
      <c r="C161" s="79"/>
      <c r="D161" s="80"/>
      <c r="E161" s="184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</row>
    <row r="162" spans="1:38" ht="18.649999999999999" customHeight="1">
      <c r="A162" s="33" t="s">
        <v>33</v>
      </c>
      <c r="B162" s="34" t="s">
        <v>3</v>
      </c>
      <c r="C162" s="34" t="s">
        <v>24</v>
      </c>
      <c r="D162" s="41"/>
      <c r="E162" s="184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</row>
    <row r="163" spans="1:38">
      <c r="A163" s="44">
        <f>I31</f>
        <v>481.09090909090907</v>
      </c>
      <c r="B163" s="34">
        <v>6</v>
      </c>
      <c r="C163" s="38"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>
      <c r="A164" s="46"/>
      <c r="B164" s="40"/>
      <c r="C164" s="40"/>
      <c r="D164" s="41"/>
      <c r="E164" s="184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</row>
    <row r="165" spans="1:38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</row>
    <row r="166" spans="1:38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4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</row>
    <row r="167" spans="1:38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8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8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17" sqref="J17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1" sqref="I31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17" sqref="J17"/>
      <rowBreaks count="1" manualBreakCount="1">
        <brk id="81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  <mergeCell ref="A157:D157"/>
    <mergeCell ref="F157:I157"/>
    <mergeCell ref="A158:D158"/>
    <mergeCell ref="F158:I158"/>
    <mergeCell ref="A152:B152"/>
    <mergeCell ref="C152:D152"/>
    <mergeCell ref="F152:G152"/>
    <mergeCell ref="C153:D153"/>
    <mergeCell ref="F153:G153"/>
    <mergeCell ref="B156:G156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Planilha38">
    <tabColor rgb="FF92D050"/>
  </sheetPr>
  <dimension ref="A1:AO169"/>
  <sheetViews>
    <sheetView view="pageBreakPreview" topLeftCell="A136" zoomScaleNormal="96" zoomScaleSheetLayoutView="100" workbookViewId="0">
      <selection activeCell="P26" sqref="P2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327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71"/>
      <c r="B13" s="172"/>
      <c r="C13" s="172"/>
      <c r="D13" s="172"/>
      <c r="E13" s="172"/>
      <c r="F13" s="172"/>
      <c r="G13" s="172"/>
      <c r="H13" s="172"/>
      <c r="I13" s="171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</row>
    <row r="24" spans="1:4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</row>
    <row r="25" spans="1:4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</row>
    <row r="26" spans="1:4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</row>
    <row r="27" spans="1:4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</row>
    <row r="28" spans="1:41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</row>
    <row r="29" spans="1:41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</row>
    <row r="30" spans="1:4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</row>
    <row r="31" spans="1:4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</row>
    <row r="32" spans="1:41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</row>
    <row r="33" spans="1:41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</row>
    <row r="34" spans="1:41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</row>
    <row r="35" spans="1:41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</row>
    <row r="36" spans="1:41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</row>
    <row r="37" spans="1:4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</row>
    <row r="38" spans="1:4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</row>
    <row r="39" spans="1:41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</row>
    <row r="40" spans="1:4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</row>
    <row r="41" spans="1:4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</row>
    <row r="42" spans="1:4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</row>
    <row r="43" spans="1:4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I38*H43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</row>
    <row r="44" spans="1:4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</row>
    <row r="45" spans="1:4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</row>
    <row r="46" spans="1:41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</row>
    <row r="47" spans="1:4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</row>
    <row r="48" spans="1:4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</row>
    <row r="49" spans="1:4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</row>
    <row r="50" spans="1:4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</row>
    <row r="51" spans="1:4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</row>
    <row r="52" spans="1:4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</row>
    <row r="53" spans="1:4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</row>
    <row r="54" spans="1:4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</row>
    <row r="55" spans="1:4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</row>
    <row r="56" spans="1:4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</row>
    <row r="57" spans="1:4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</row>
    <row r="58" spans="1:41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</row>
    <row r="59" spans="1:4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</row>
    <row r="60" spans="1:4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</row>
    <row r="61" spans="1:4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3</v>
      </c>
      <c r="I61" s="70">
        <f>C166</f>
        <v>49.13454545454546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</row>
    <row r="62" spans="1:4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</row>
    <row r="63" spans="1:4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</row>
    <row r="64" spans="1:4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</row>
    <row r="65" spans="1:4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</row>
    <row r="66" spans="1:4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</row>
    <row r="67" spans="1:4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</row>
    <row r="68" spans="1:4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471.70080000000002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>
      <c r="A74" s="95"/>
      <c r="B74" s="95"/>
      <c r="C74" s="95"/>
      <c r="D74" s="95"/>
      <c r="E74" s="95"/>
      <c r="F74" s="95"/>
      <c r="G74" s="95"/>
      <c r="H74" s="95"/>
      <c r="I74" s="11"/>
    </row>
    <row r="75" spans="1:4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471.70080000000002</v>
      </c>
    </row>
    <row r="80" spans="1:4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721.86059999999998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102.89684999999999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20.579369999999997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0.43924278058079996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0.22637306999999998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1.7623267370843905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125.9041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125.9041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125.9041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78.69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112.2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12.556963273125342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57.955215106732346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96.592025177887251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357.99419999999998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721.86059999999998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125.9041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1573.8462999999999</v>
      </c>
    </row>
    <row r="146" spans="1:4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357.99419999999998</v>
      </c>
    </row>
    <row r="147" spans="1:4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1931.8405</v>
      </c>
    </row>
    <row r="148" spans="1:41">
      <c r="A148" s="5"/>
      <c r="B148" s="5"/>
      <c r="C148" s="5"/>
      <c r="D148" s="5"/>
      <c r="E148" s="5"/>
      <c r="F148" s="5"/>
      <c r="G148" s="5"/>
      <c r="H148" s="5"/>
      <c r="I148" s="69"/>
    </row>
    <row r="149" spans="1:4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1" ht="27.65" customHeight="1">
      <c r="A151" s="681" t="str">
        <f>I23</f>
        <v>Limpeza</v>
      </c>
      <c r="B151" s="682"/>
      <c r="C151" s="683">
        <f>(I147-I117)</f>
        <v>1931.8405</v>
      </c>
      <c r="D151" s="683"/>
      <c r="E151" s="72">
        <v>1</v>
      </c>
      <c r="F151" s="683">
        <f>(I147-I117)</f>
        <v>1931.8405</v>
      </c>
      <c r="G151" s="683"/>
      <c r="H151" s="72">
        <v>1</v>
      </c>
      <c r="I151" s="141">
        <f>F151*H151</f>
        <v>1931.8405</v>
      </c>
    </row>
    <row r="152" spans="1:4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1931.8405</v>
      </c>
    </row>
    <row r="154" spans="1:4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23182.085999999999</v>
      </c>
    </row>
    <row r="155" spans="1:4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</row>
    <row r="157" spans="1:4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</row>
    <row r="158" spans="1:4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</row>
    <row r="159" spans="1:4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</row>
    <row r="160" spans="1:41">
      <c r="A160" s="180">
        <v>3</v>
      </c>
      <c r="B160" s="182">
        <v>1</v>
      </c>
      <c r="C160" s="182">
        <v>26</v>
      </c>
      <c r="D160" s="183">
        <f>A160*B160*C160</f>
        <v>78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</row>
    <row r="161" spans="1:41">
      <c r="A161" s="77"/>
      <c r="B161" s="78"/>
      <c r="C161" s="79"/>
      <c r="D161" s="80"/>
      <c r="E161" s="32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</row>
    <row r="162" spans="1:4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</row>
    <row r="163" spans="1:4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</row>
    <row r="164" spans="1:41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</row>
    <row r="165" spans="1:4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</row>
    <row r="166" spans="1:41" ht="26.25" customHeight="1" thickBot="1">
      <c r="A166" s="44">
        <f>D160</f>
        <v>78</v>
      </c>
      <c r="B166" s="50">
        <f>C163</f>
        <v>28.865454545454543</v>
      </c>
      <c r="C166" s="51">
        <f>A166-B166</f>
        <v>49.13454545454546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</row>
    <row r="167" spans="1:4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10" sqref="J1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10" sqref="J1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A17:B17"/>
    <mergeCell ref="C17:D17"/>
    <mergeCell ref="E17:I17"/>
    <mergeCell ref="A18:B18"/>
    <mergeCell ref="C18:D18"/>
    <mergeCell ref="E18:I18"/>
    <mergeCell ref="B12:H12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57:D157"/>
    <mergeCell ref="F157:I157"/>
    <mergeCell ref="A158:D158"/>
    <mergeCell ref="F158:I158"/>
    <mergeCell ref="B11:H1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Planilha39">
    <tabColor rgb="FF92D050"/>
  </sheetPr>
  <dimension ref="A1:AQ169"/>
  <sheetViews>
    <sheetView view="pageBreakPreview" zoomScaleNormal="96" zoomScaleSheetLayoutView="100" workbookViewId="0">
      <selection activeCell="M20" sqref="M20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30" t="s">
        <v>12</v>
      </c>
      <c r="B10" s="645" t="s">
        <v>326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93"/>
      <c r="B13" s="194"/>
      <c r="C13" s="194"/>
      <c r="D13" s="194"/>
      <c r="E13" s="194"/>
      <c r="F13" s="194"/>
      <c r="G13" s="194"/>
      <c r="H13" s="194"/>
      <c r="I13" s="19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43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43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43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43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43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43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</row>
    <row r="23" spans="1:43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</row>
    <row r="24" spans="1:43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</row>
    <row r="25" spans="1:43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</row>
    <row r="26" spans="1:43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</row>
    <row r="27" spans="1:43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</row>
    <row r="28" spans="1:43">
      <c r="A28" s="143"/>
      <c r="B28" s="3"/>
      <c r="C28" s="3"/>
      <c r="D28" s="3"/>
      <c r="E28" s="3"/>
      <c r="F28" s="3"/>
      <c r="G28" s="3"/>
      <c r="H28" s="3"/>
      <c r="I28" s="6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</row>
    <row r="29" spans="1:43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</row>
    <row r="30" spans="1:43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</row>
    <row r="31" spans="1:43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</row>
    <row r="32" spans="1:43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</row>
    <row r="33" spans="1:43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</row>
    <row r="34" spans="1:43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</row>
    <row r="35" spans="1:43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</row>
    <row r="36" spans="1:43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</row>
    <row r="37" spans="1:43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</row>
    <row r="38" spans="1:43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</row>
    <row r="39" spans="1:43">
      <c r="A39" s="95"/>
      <c r="B39" s="95"/>
      <c r="C39" s="95"/>
      <c r="D39" s="95"/>
      <c r="E39" s="95"/>
      <c r="F39" s="95"/>
      <c r="G39" s="95"/>
      <c r="H39" s="95"/>
      <c r="I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</row>
    <row r="40" spans="1:43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</row>
    <row r="41" spans="1:43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</row>
    <row r="42" spans="1:43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</row>
    <row r="43" spans="1:43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</row>
    <row r="44" spans="1:43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</row>
    <row r="45" spans="1:43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</row>
    <row r="46" spans="1:43">
      <c r="A46" s="95"/>
      <c r="B46" s="95"/>
      <c r="C46" s="95"/>
      <c r="D46" s="95"/>
      <c r="E46" s="95"/>
      <c r="F46" s="95"/>
      <c r="G46" s="95"/>
      <c r="H46" s="15"/>
      <c r="I46" s="11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</row>
    <row r="47" spans="1:43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</row>
    <row r="48" spans="1:43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</row>
    <row r="49" spans="1:43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</row>
    <row r="50" spans="1:43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</row>
    <row r="51" spans="1:43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</row>
    <row r="52" spans="1:43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</row>
    <row r="53" spans="1:43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</row>
    <row r="54" spans="1:43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</row>
    <row r="55" spans="1:43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</row>
    <row r="56" spans="1:43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</row>
    <row r="57" spans="1:43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</row>
    <row r="58" spans="1:43">
      <c r="A58" s="16"/>
      <c r="B58" s="16"/>
      <c r="C58" s="16"/>
      <c r="D58" s="16"/>
      <c r="E58" s="16"/>
      <c r="F58" s="16"/>
      <c r="G58" s="16"/>
      <c r="H58" s="17"/>
      <c r="I58" s="18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</row>
    <row r="59" spans="1:43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</row>
    <row r="60" spans="1:43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</row>
    <row r="61" spans="1:43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5.0999999999999996</v>
      </c>
      <c r="I61" s="70">
        <f>C166</f>
        <v>103.73454545454545</v>
      </c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</row>
    <row r="62" spans="1:43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</row>
    <row r="63" spans="1:43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</row>
    <row r="64" spans="1:43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</row>
    <row r="65" spans="1:43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</row>
    <row r="66" spans="1:43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</row>
    <row r="67" spans="1:43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</row>
    <row r="68" spans="1:43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</row>
    <row r="69" spans="1:43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</row>
    <row r="70" spans="1:43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</row>
    <row r="71" spans="1:43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</row>
    <row r="72" spans="1:43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</row>
    <row r="73" spans="1:43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526.30079999999998</v>
      </c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</row>
    <row r="74" spans="1:43">
      <c r="A74" s="95"/>
      <c r="B74" s="95"/>
      <c r="C74" s="95"/>
      <c r="D74" s="95"/>
      <c r="E74" s="95"/>
      <c r="F74" s="95"/>
      <c r="G74" s="95"/>
      <c r="H74" s="95"/>
      <c r="I74" s="11"/>
    </row>
    <row r="75" spans="1:43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3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3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3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3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526.30079999999998</v>
      </c>
    </row>
    <row r="80" spans="1:43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776.4606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107.44685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21.489370000000001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0.45866567498079996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0.23638307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1.8402551348315908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131.47149999999999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131.47149999999999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131.47149999999999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23"/>
      <c r="I121" s="124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81.7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116.49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12.895857119653492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59.519340552246888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0.04</v>
      </c>
      <c r="I135" s="209">
        <f>(I145+I124+I125)/(1-SUM(E128:H135))*H135</f>
        <v>79.359120736329189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0.19440000000000002</v>
      </c>
      <c r="I136" s="10">
        <f>TRUNC(SUM(I124:I135),4)</f>
        <v>349.96429999999998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776.4606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131.47149999999999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3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1634.0137</v>
      </c>
    </row>
    <row r="146" spans="1:43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349.96429999999998</v>
      </c>
    </row>
    <row r="147" spans="1:43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1983.9780000000001</v>
      </c>
    </row>
    <row r="148" spans="1:43">
      <c r="A148" s="5"/>
      <c r="B148" s="5"/>
      <c r="C148" s="5"/>
      <c r="D148" s="5"/>
      <c r="E148" s="5"/>
      <c r="F148" s="5"/>
      <c r="G148" s="5"/>
      <c r="H148" s="5"/>
      <c r="I148" s="69"/>
    </row>
    <row r="149" spans="1:43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3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3" ht="27.65" customHeight="1">
      <c r="A151" s="681" t="str">
        <f>I23</f>
        <v>Limpeza</v>
      </c>
      <c r="B151" s="682"/>
      <c r="C151" s="683">
        <f>(I147-I117)</f>
        <v>1983.9780000000001</v>
      </c>
      <c r="D151" s="683"/>
      <c r="E151" s="72">
        <v>1</v>
      </c>
      <c r="F151" s="683">
        <f>(I147-I117)</f>
        <v>1983.9780000000001</v>
      </c>
      <c r="G151" s="683"/>
      <c r="H151" s="72">
        <v>1</v>
      </c>
      <c r="I151" s="141">
        <f>F151*H151</f>
        <v>1983.9780000000001</v>
      </c>
    </row>
    <row r="152" spans="1:43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3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1983.9780000000001</v>
      </c>
    </row>
    <row r="154" spans="1:43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23807.736000000001</v>
      </c>
    </row>
    <row r="155" spans="1:43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3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</row>
    <row r="157" spans="1:43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</row>
    <row r="158" spans="1:43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</row>
    <row r="159" spans="1:43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</row>
    <row r="160" spans="1:43">
      <c r="A160" s="180">
        <v>5.0999999999999996</v>
      </c>
      <c r="B160" s="182">
        <v>1</v>
      </c>
      <c r="C160" s="182">
        <v>26</v>
      </c>
      <c r="D160" s="183">
        <f>A160*B160*C160</f>
        <v>132.6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</row>
    <row r="161" spans="1:43">
      <c r="A161" s="77"/>
      <c r="B161" s="78"/>
      <c r="C161" s="79"/>
      <c r="D161" s="80"/>
      <c r="E161" s="32"/>
      <c r="F161" s="81"/>
      <c r="G161" s="79"/>
      <c r="H161" s="79"/>
      <c r="I161" s="82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</row>
    <row r="162" spans="1:43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</row>
    <row r="163" spans="1:43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</row>
    <row r="164" spans="1:43">
      <c r="A164" s="46"/>
      <c r="B164" s="40"/>
      <c r="C164" s="40"/>
      <c r="D164" s="41"/>
      <c r="E164" s="32"/>
      <c r="F164" s="42"/>
      <c r="G164" s="40"/>
      <c r="H164" s="40"/>
      <c r="I164" s="43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</row>
    <row r="165" spans="1:43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</row>
    <row r="166" spans="1:43" ht="26.25" customHeight="1" thickBot="1">
      <c r="A166" s="44">
        <f>D160</f>
        <v>132.6</v>
      </c>
      <c r="B166" s="50">
        <f>C163</f>
        <v>28.865454545454543</v>
      </c>
      <c r="C166" s="51">
        <f>A166-B166</f>
        <v>103.73454545454545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</row>
    <row r="167" spans="1:43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3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3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25" sqref="J25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25" sqref="J25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2:H12"/>
    <mergeCell ref="A17:B17"/>
    <mergeCell ref="C17:D17"/>
    <mergeCell ref="E17:I17"/>
    <mergeCell ref="A18:B18"/>
    <mergeCell ref="C18:D18"/>
    <mergeCell ref="E18:I18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57:D157"/>
    <mergeCell ref="F157:I157"/>
    <mergeCell ref="A158:D158"/>
    <mergeCell ref="F158:I158"/>
    <mergeCell ref="B11:H1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ilha40">
    <tabColor rgb="FF92D050"/>
  </sheetPr>
  <dimension ref="A1:AL169"/>
  <sheetViews>
    <sheetView view="pageBreakPreview" zoomScaleNormal="96" zoomScaleSheetLayoutView="100" workbookViewId="0">
      <selection activeCell="J1" sqref="J1:J1048576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325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71"/>
      <c r="B13" s="172"/>
      <c r="C13" s="172"/>
      <c r="D13" s="172"/>
      <c r="E13" s="172"/>
      <c r="F13" s="172"/>
      <c r="G13" s="172"/>
      <c r="H13" s="172"/>
      <c r="I13" s="171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38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38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38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38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38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38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</row>
    <row r="23" spans="1:38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</row>
    <row r="24" spans="1:38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</row>
    <row r="25" spans="1:38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</row>
    <row r="26" spans="1:38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</row>
    <row r="27" spans="1:38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</row>
    <row r="29" spans="1:38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</row>
    <row r="30" spans="1:38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</row>
    <row r="31" spans="1:38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</row>
    <row r="32" spans="1:38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</row>
    <row r="33" spans="1:38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</row>
    <row r="36" spans="1:38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</row>
    <row r="39" spans="1:38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1:38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</row>
    <row r="41" spans="1:38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</row>
    <row r="42" spans="1:38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I38*H43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</row>
    <row r="45" spans="1:38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</row>
    <row r="46" spans="1:38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</row>
    <row r="47" spans="1:38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</row>
    <row r="49" spans="1:38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</row>
    <row r="50" spans="1:38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</row>
    <row r="51" spans="1:38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</row>
    <row r="52" spans="1:38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</row>
    <row r="53" spans="1:38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</row>
    <row r="55" spans="1:38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</row>
    <row r="56" spans="1:38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</row>
    <row r="57" spans="1:38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</row>
    <row r="58" spans="1:38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</row>
    <row r="60" spans="1:38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</row>
    <row r="61" spans="1:38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v>0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</row>
    <row r="62" spans="1:38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</row>
    <row r="63" spans="1:38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</row>
    <row r="72" spans="1:38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</row>
    <row r="73" spans="1:38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>
      <c r="A74" s="95"/>
      <c r="B74" s="95"/>
      <c r="C74" s="95"/>
      <c r="D74" s="95"/>
      <c r="E74" s="95"/>
      <c r="F74" s="95"/>
      <c r="G74" s="95"/>
      <c r="H74" s="95"/>
      <c r="I74" s="11"/>
    </row>
    <row r="75" spans="1:38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8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8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8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8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38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TRUNC(SUM(I105),2)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11.865175200856989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54.762347080878413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54.762347080878413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305.70979999999997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8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38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305.70979999999997</v>
      </c>
    </row>
    <row r="147" spans="1:38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1825.4114999999999</v>
      </c>
    </row>
    <row r="148" spans="1:38">
      <c r="A148" s="5"/>
      <c r="B148" s="5"/>
      <c r="C148" s="5"/>
      <c r="D148" s="5"/>
      <c r="E148" s="5"/>
      <c r="F148" s="5"/>
      <c r="G148" s="5"/>
      <c r="H148" s="5"/>
      <c r="I148" s="69"/>
    </row>
    <row r="149" spans="1:38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8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8" ht="27.65" customHeight="1">
      <c r="A151" s="681" t="str">
        <f>I23</f>
        <v>Limpeza</v>
      </c>
      <c r="B151" s="682"/>
      <c r="C151" s="683">
        <f>(I147-I117)</f>
        <v>1825.4114999999999</v>
      </c>
      <c r="D151" s="683"/>
      <c r="E151" s="72">
        <v>1</v>
      </c>
      <c r="F151" s="683">
        <f>(I147-I117)</f>
        <v>1825.4114999999999</v>
      </c>
      <c r="G151" s="683"/>
      <c r="H151" s="72">
        <v>1</v>
      </c>
      <c r="I151" s="141">
        <f>F151*H151</f>
        <v>1825.4114999999999</v>
      </c>
    </row>
    <row r="152" spans="1:38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/>
    </row>
    <row r="153" spans="1:38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1825.4114999999999</v>
      </c>
    </row>
    <row r="154" spans="1:38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21904.937999999998</v>
      </c>
    </row>
    <row r="155" spans="1:38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8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</row>
    <row r="157" spans="1:38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</row>
    <row r="158" spans="1:38">
      <c r="A158" s="691" t="s">
        <v>317</v>
      </c>
      <c r="B158" s="692"/>
      <c r="C158" s="692"/>
      <c r="D158" s="692"/>
      <c r="E158" s="184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</row>
    <row r="159" spans="1:38">
      <c r="A159" s="33" t="s">
        <v>133</v>
      </c>
      <c r="B159" s="34" t="s">
        <v>142</v>
      </c>
      <c r="C159" s="34" t="s">
        <v>134</v>
      </c>
      <c r="D159" s="34" t="s">
        <v>24</v>
      </c>
      <c r="E159" s="184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</row>
    <row r="160" spans="1:38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</row>
    <row r="161" spans="1:38">
      <c r="A161" s="77"/>
      <c r="B161" s="78"/>
      <c r="C161" s="79"/>
      <c r="D161" s="80"/>
      <c r="E161" s="184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</row>
    <row r="162" spans="1:38" ht="18.649999999999999" customHeight="1">
      <c r="A162" s="33" t="s">
        <v>33</v>
      </c>
      <c r="B162" s="34" t="s">
        <v>3</v>
      </c>
      <c r="C162" s="34" t="s">
        <v>24</v>
      </c>
      <c r="D162" s="41"/>
      <c r="E162" s="184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</row>
    <row r="163" spans="1:38">
      <c r="A163" s="44">
        <f>I31</f>
        <v>481.09090909090907</v>
      </c>
      <c r="B163" s="34">
        <v>6</v>
      </c>
      <c r="C163" s="38"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>
      <c r="A164" s="46"/>
      <c r="B164" s="40"/>
      <c r="C164" s="40"/>
      <c r="D164" s="41"/>
      <c r="E164" s="184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</row>
    <row r="165" spans="1:38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</row>
    <row r="166" spans="1:38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49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</row>
    <row r="167" spans="1:38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8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8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6" sqref="J6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6" sqref="J6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9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2:H12"/>
    <mergeCell ref="A17:B17"/>
    <mergeCell ref="C17:D17"/>
    <mergeCell ref="E17:I17"/>
    <mergeCell ref="A18:B18"/>
    <mergeCell ref="C18:D18"/>
    <mergeCell ref="E18:I18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57:D157"/>
    <mergeCell ref="F157:I157"/>
    <mergeCell ref="A158:D158"/>
    <mergeCell ref="F158:I158"/>
    <mergeCell ref="B11:H1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8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Planilha41">
    <tabColor rgb="FF92D050"/>
  </sheetPr>
  <dimension ref="A1:AL169"/>
  <sheetViews>
    <sheetView view="pageBreakPreview" topLeftCell="A28" zoomScaleNormal="96" zoomScaleSheetLayoutView="100" workbookViewId="0">
      <selection activeCell="K11" sqref="K11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30" t="s">
        <v>12</v>
      </c>
      <c r="B10" s="645" t="s">
        <v>324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93"/>
      <c r="B13" s="194"/>
      <c r="C13" s="194"/>
      <c r="D13" s="194"/>
      <c r="E13" s="194"/>
      <c r="F13" s="194"/>
      <c r="G13" s="194"/>
      <c r="H13" s="194"/>
      <c r="I13" s="19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38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38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38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38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38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38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</row>
    <row r="23" spans="1:38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</row>
    <row r="24" spans="1:38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</row>
    <row r="25" spans="1:38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</row>
    <row r="26" spans="1:38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</row>
    <row r="27" spans="1:38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</row>
    <row r="29" spans="1:38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</row>
    <row r="30" spans="1:38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</row>
    <row r="31" spans="1:38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</row>
    <row r="32" spans="1:38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/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</row>
    <row r="33" spans="1:38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</row>
    <row r="36" spans="1:38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</row>
    <row r="39" spans="1:38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1:38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</row>
    <row r="41" spans="1:38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</row>
    <row r="42" spans="1:38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</row>
    <row r="45" spans="1:38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</row>
    <row r="46" spans="1:38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</row>
    <row r="47" spans="1:38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</row>
    <row r="49" spans="1:38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</row>
    <row r="50" spans="1:38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</row>
    <row r="51" spans="1:38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</row>
    <row r="52" spans="1:38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</row>
    <row r="53" spans="1:38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</row>
    <row r="55" spans="1:38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</row>
    <row r="56" spans="1:38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</row>
    <row r="57" spans="1:38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</row>
    <row r="58" spans="1:38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</row>
    <row r="60" spans="1:38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</row>
    <row r="61" spans="1:38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4.5</v>
      </c>
      <c r="I61" s="70">
        <f>C166</f>
        <v>88.13454545454546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</row>
    <row r="62" spans="1:38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</row>
    <row r="63" spans="1:38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</row>
    <row r="72" spans="1:38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</row>
    <row r="73" spans="1:38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510.70080000000002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>
      <c r="A74" s="95"/>
      <c r="B74" s="95"/>
      <c r="C74" s="95"/>
      <c r="D74" s="95"/>
      <c r="E74" s="95"/>
      <c r="F74" s="95"/>
      <c r="G74" s="95"/>
      <c r="H74" s="95"/>
      <c r="I74" s="11"/>
    </row>
    <row r="75" spans="1:38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8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8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8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8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510.70080000000002</v>
      </c>
    </row>
    <row r="80" spans="1:38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760.86059999999998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106.14684999999999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21.229369999999999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0.45311627658079995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0.23352306999999997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1.8179898783323905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129.88079999999999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129.88079999999999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129.88079999999999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30" t="s">
        <v>0</v>
      </c>
      <c r="I119" s="29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80.84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115.27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12.623529191215853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58.262442420996251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58.262442420996251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0.18440000000000001</v>
      </c>
      <c r="I136" s="10">
        <f>TRUNC(SUM(I124:I135),4)</f>
        <v>325.25839999999999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760.86059999999998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129.88079999999999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8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1616.8230000000001</v>
      </c>
    </row>
    <row r="146" spans="1:38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325.25839999999999</v>
      </c>
    </row>
    <row r="147" spans="1:38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1942.0814</v>
      </c>
    </row>
    <row r="148" spans="1:38">
      <c r="A148" s="5"/>
      <c r="B148" s="5"/>
      <c r="C148" s="5"/>
      <c r="D148" s="5"/>
      <c r="E148" s="5"/>
      <c r="F148" s="5"/>
      <c r="G148" s="5"/>
      <c r="H148" s="5"/>
      <c r="I148" s="69"/>
    </row>
    <row r="149" spans="1:38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8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8" ht="27.65" customHeight="1">
      <c r="A151" s="681" t="str">
        <f>I23</f>
        <v>Limpeza</v>
      </c>
      <c r="B151" s="682"/>
      <c r="C151" s="683">
        <f>(I147-I117)</f>
        <v>1942.0814</v>
      </c>
      <c r="D151" s="683"/>
      <c r="E151" s="72">
        <v>1</v>
      </c>
      <c r="F151" s="683">
        <f>(I147-I117)</f>
        <v>1942.0814</v>
      </c>
      <c r="G151" s="683"/>
      <c r="H151" s="72">
        <v>1</v>
      </c>
      <c r="I151" s="141">
        <f>F151*H151</f>
        <v>1942.0814</v>
      </c>
    </row>
    <row r="152" spans="1:38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8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1942.0814</v>
      </c>
    </row>
    <row r="154" spans="1:38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23304.9768</v>
      </c>
    </row>
    <row r="155" spans="1:38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8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</row>
    <row r="157" spans="1:38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</row>
    <row r="158" spans="1:38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</row>
    <row r="159" spans="1:38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</row>
    <row r="160" spans="1:38">
      <c r="A160" s="180">
        <v>4.5</v>
      </c>
      <c r="B160" s="182">
        <v>1</v>
      </c>
      <c r="C160" s="182">
        <v>26</v>
      </c>
      <c r="D160" s="183">
        <f>A160*B160*C160</f>
        <v>117</v>
      </c>
      <c r="E160" s="184"/>
      <c r="F160" s="173">
        <v>26.833300000000001</v>
      </c>
      <c r="G160" s="182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</row>
    <row r="161" spans="1:38">
      <c r="A161" s="185"/>
      <c r="B161" s="186"/>
      <c r="C161" s="186"/>
      <c r="D161" s="187"/>
      <c r="E161" s="184"/>
      <c r="F161" s="188"/>
      <c r="G161" s="186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</row>
    <row r="162" spans="1:38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</row>
    <row r="163" spans="1:38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</row>
    <row r="165" spans="1:38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</row>
    <row r="166" spans="1:38" ht="26.25" customHeight="1" thickBot="1">
      <c r="A166" s="44">
        <f>D160</f>
        <v>117</v>
      </c>
      <c r="B166" s="50">
        <f>C163</f>
        <v>28.865454545454543</v>
      </c>
      <c r="C166" s="51">
        <f>A166-B166</f>
        <v>88.13454545454546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</row>
    <row r="167" spans="1:38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8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8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29" sqref="J29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29" sqref="J29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2:H12"/>
    <mergeCell ref="A17:B17"/>
    <mergeCell ref="C17:D17"/>
    <mergeCell ref="E17:I17"/>
    <mergeCell ref="A18:B18"/>
    <mergeCell ref="C18:D18"/>
    <mergeCell ref="E18:I18"/>
    <mergeCell ref="A14:I14"/>
    <mergeCell ref="A15:B15"/>
    <mergeCell ref="C15:D15"/>
    <mergeCell ref="E15:I15"/>
    <mergeCell ref="A16:B16"/>
    <mergeCell ref="C16:D16"/>
    <mergeCell ref="E16:I16"/>
    <mergeCell ref="B27:H27"/>
    <mergeCell ref="A29:I29"/>
    <mergeCell ref="B30:G30"/>
    <mergeCell ref="B31:G31"/>
    <mergeCell ref="B32:G32"/>
    <mergeCell ref="B33:G33"/>
    <mergeCell ref="A20:B20"/>
    <mergeCell ref="A22:I22"/>
    <mergeCell ref="B23:H23"/>
    <mergeCell ref="B24:H24"/>
    <mergeCell ref="B25:H25"/>
    <mergeCell ref="B26:H26"/>
    <mergeCell ref="A41:G41"/>
    <mergeCell ref="B42:G42"/>
    <mergeCell ref="B43:G43"/>
    <mergeCell ref="B44:G44"/>
    <mergeCell ref="A45:G45"/>
    <mergeCell ref="A47:I47"/>
    <mergeCell ref="B34:G34"/>
    <mergeCell ref="B35:G35"/>
    <mergeCell ref="B36:G36"/>
    <mergeCell ref="B37:G37"/>
    <mergeCell ref="A38:H38"/>
    <mergeCell ref="A40:I40"/>
    <mergeCell ref="B54:G54"/>
    <mergeCell ref="B55:G55"/>
    <mergeCell ref="B56:G56"/>
    <mergeCell ref="A57:G57"/>
    <mergeCell ref="B60:G60"/>
    <mergeCell ref="B61:G61"/>
    <mergeCell ref="B48:G48"/>
    <mergeCell ref="B49:G49"/>
    <mergeCell ref="B50:G50"/>
    <mergeCell ref="B51:G51"/>
    <mergeCell ref="B52:G52"/>
    <mergeCell ref="B53:G53"/>
    <mergeCell ref="B68:G68"/>
    <mergeCell ref="B69:G69"/>
    <mergeCell ref="B70:G70"/>
    <mergeCell ref="B71:G71"/>
    <mergeCell ref="B72:G72"/>
    <mergeCell ref="A73:H73"/>
    <mergeCell ref="B62:G62"/>
    <mergeCell ref="B63:G63"/>
    <mergeCell ref="B64:G64"/>
    <mergeCell ref="B65:G65"/>
    <mergeCell ref="B66:G66"/>
    <mergeCell ref="B67:G67"/>
    <mergeCell ref="B84:G84"/>
    <mergeCell ref="B85:G85"/>
    <mergeCell ref="B86:G86"/>
    <mergeCell ref="B87:G87"/>
    <mergeCell ref="B88:G88"/>
    <mergeCell ref="B89:G89"/>
    <mergeCell ref="A75:I75"/>
    <mergeCell ref="B76:H76"/>
    <mergeCell ref="A80:H80"/>
    <mergeCell ref="A81:I81"/>
    <mergeCell ref="A82:I82"/>
    <mergeCell ref="B83:G83"/>
    <mergeCell ref="B96:G96"/>
    <mergeCell ref="B97:G97"/>
    <mergeCell ref="B98:G98"/>
    <mergeCell ref="B99:G99"/>
    <mergeCell ref="B100:G100"/>
    <mergeCell ref="A101:G101"/>
    <mergeCell ref="A90:G90"/>
    <mergeCell ref="A91:I91"/>
    <mergeCell ref="A92:I92"/>
    <mergeCell ref="A93:I93"/>
    <mergeCell ref="B94:G94"/>
    <mergeCell ref="B95:G95"/>
    <mergeCell ref="B109:H109"/>
    <mergeCell ref="B110:H110"/>
    <mergeCell ref="B111:H111"/>
    <mergeCell ref="A112:H112"/>
    <mergeCell ref="A113:I113"/>
    <mergeCell ref="A114:I114"/>
    <mergeCell ref="A102:I102"/>
    <mergeCell ref="A103:G103"/>
    <mergeCell ref="B104:G104"/>
    <mergeCell ref="B105:G105"/>
    <mergeCell ref="A106:G106"/>
    <mergeCell ref="A108:I108"/>
    <mergeCell ref="A122:I122"/>
    <mergeCell ref="B123:G123"/>
    <mergeCell ref="B124:G124"/>
    <mergeCell ref="B125:G125"/>
    <mergeCell ref="B126:G126"/>
    <mergeCell ref="B115:G115"/>
    <mergeCell ref="B116:G116"/>
    <mergeCell ref="B117:G117"/>
    <mergeCell ref="B118:G118"/>
    <mergeCell ref="B119:G119"/>
    <mergeCell ref="A120:G120"/>
    <mergeCell ref="B127:G127"/>
    <mergeCell ref="B135:G135"/>
    <mergeCell ref="A136:G136"/>
    <mergeCell ref="A138:I138"/>
    <mergeCell ref="B140:H140"/>
    <mergeCell ref="B141:H141"/>
    <mergeCell ref="B128:G128"/>
    <mergeCell ref="B129:G129"/>
    <mergeCell ref="B130:G130"/>
    <mergeCell ref="B131:G131"/>
    <mergeCell ref="B133:G133"/>
    <mergeCell ref="B132:G132"/>
    <mergeCell ref="B134:G134"/>
    <mergeCell ref="A157:D157"/>
    <mergeCell ref="F157:I157"/>
    <mergeCell ref="A158:D158"/>
    <mergeCell ref="F158:I158"/>
    <mergeCell ref="B11:H11"/>
    <mergeCell ref="A152:B152"/>
    <mergeCell ref="C152:D152"/>
    <mergeCell ref="F152:G152"/>
    <mergeCell ref="C153:D153"/>
    <mergeCell ref="F153:G153"/>
    <mergeCell ref="B156:G156"/>
    <mergeCell ref="A149:I149"/>
    <mergeCell ref="A150:B150"/>
    <mergeCell ref="C150:D150"/>
    <mergeCell ref="F150:G150"/>
    <mergeCell ref="A151:B151"/>
    <mergeCell ref="C151:D151"/>
    <mergeCell ref="F151:G151"/>
    <mergeCell ref="B142:H142"/>
    <mergeCell ref="B143:H143"/>
    <mergeCell ref="B144:H144"/>
    <mergeCell ref="B145:H145"/>
    <mergeCell ref="B146:H146"/>
    <mergeCell ref="A147:H147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8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Planilha42">
    <tabColor rgb="FF92D050"/>
  </sheetPr>
  <dimension ref="A1:AN169"/>
  <sheetViews>
    <sheetView view="pageBreakPreview" topLeftCell="A139" zoomScaleNormal="96" zoomScaleSheetLayoutView="100" workbookViewId="0">
      <selection activeCell="I28" sqref="I28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2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30" t="s">
        <v>12</v>
      </c>
      <c r="B10" s="645" t="s">
        <v>323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93"/>
      <c r="B13" s="194"/>
      <c r="C13" s="194"/>
      <c r="D13" s="194"/>
      <c r="E13" s="194"/>
      <c r="F13" s="194"/>
      <c r="G13" s="194"/>
      <c r="H13" s="194"/>
      <c r="I13" s="19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40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40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40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40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40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4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</row>
    <row r="23" spans="1:4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1:4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</row>
    <row r="25" spans="1:4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</row>
    <row r="26" spans="1:4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</row>
    <row r="27" spans="1:4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</row>
    <row r="28" spans="1:40">
      <c r="A28" s="143"/>
      <c r="B28" s="3"/>
      <c r="C28" s="3"/>
      <c r="D28" s="3"/>
      <c r="E28" s="3"/>
      <c r="F28" s="3"/>
      <c r="G28" s="3"/>
      <c r="H28" s="3"/>
      <c r="I28" s="6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</row>
    <row r="29" spans="1:40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</row>
    <row r="30" spans="1:4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</row>
    <row r="31" spans="1:4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</row>
    <row r="32" spans="1:40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</row>
    <row r="33" spans="1:40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</row>
    <row r="34" spans="1:40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</row>
    <row r="35" spans="1:4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</row>
    <row r="36" spans="1:4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</row>
    <row r="37" spans="1:4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</row>
    <row r="38" spans="1:4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</row>
    <row r="39" spans="1:40">
      <c r="A39" s="95"/>
      <c r="B39" s="95"/>
      <c r="C39" s="95"/>
      <c r="D39" s="95"/>
      <c r="E39" s="95"/>
      <c r="F39" s="95"/>
      <c r="G39" s="95"/>
      <c r="H39" s="95"/>
      <c r="I39" s="11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</row>
    <row r="40" spans="1:4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</row>
    <row r="41" spans="1:4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</row>
    <row r="42" spans="1:4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</row>
    <row r="43" spans="1:4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</row>
    <row r="44" spans="1:4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</row>
    <row r="45" spans="1:4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</row>
    <row r="46" spans="1:40">
      <c r="A46" s="95"/>
      <c r="B46" s="95"/>
      <c r="C46" s="95"/>
      <c r="D46" s="95"/>
      <c r="E46" s="95"/>
      <c r="F46" s="95"/>
      <c r="G46" s="95"/>
      <c r="H46" s="15"/>
      <c r="I46" s="11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</row>
    <row r="47" spans="1:40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</row>
    <row r="48" spans="1:4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</row>
    <row r="49" spans="1:4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</row>
    <row r="50" spans="1:4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</row>
    <row r="51" spans="1:4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</row>
    <row r="52" spans="1:4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1:4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1:4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</row>
    <row r="55" spans="1:4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</row>
    <row r="56" spans="1:4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</row>
    <row r="57" spans="1:4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</row>
    <row r="58" spans="1:40">
      <c r="A58" s="16"/>
      <c r="B58" s="16"/>
      <c r="C58" s="16"/>
      <c r="D58" s="16"/>
      <c r="E58" s="16"/>
      <c r="F58" s="16"/>
      <c r="G58" s="16"/>
      <c r="H58" s="17"/>
      <c r="I58" s="18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</row>
    <row r="59" spans="1:4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</row>
    <row r="60" spans="1:4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</row>
    <row r="61" spans="1:4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v>0</v>
      </c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</row>
    <row r="62" spans="1:4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</row>
    <row r="63" spans="1:4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</row>
    <row r="64" spans="1:4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</row>
    <row r="65" spans="1:4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</row>
    <row r="66" spans="1:4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</row>
    <row r="67" spans="1:4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</row>
    <row r="68" spans="1:40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</row>
    <row r="69" spans="1:4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</row>
    <row r="70" spans="1:4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</row>
    <row r="71" spans="1:4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</row>
    <row r="72" spans="1:4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</row>
    <row r="73" spans="1:4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</row>
    <row r="74" spans="1:40">
      <c r="A74" s="95"/>
      <c r="B74" s="95"/>
      <c r="C74" s="95"/>
      <c r="D74" s="95"/>
      <c r="E74" s="95"/>
      <c r="F74" s="95"/>
      <c r="G74" s="95"/>
      <c r="H74" s="95"/>
      <c r="I74" s="11"/>
    </row>
    <row r="75" spans="1:4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4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11.865175200856989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54.762347080878413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54.762347080878413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305.70979999999997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4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305.70979999999997</v>
      </c>
    </row>
    <row r="147" spans="1:4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1825.4114999999999</v>
      </c>
    </row>
    <row r="148" spans="1:40">
      <c r="A148" s="5"/>
      <c r="B148" s="5"/>
      <c r="C148" s="5"/>
      <c r="D148" s="5"/>
      <c r="E148" s="5"/>
      <c r="F148" s="5"/>
      <c r="G148" s="5"/>
      <c r="H148" s="5"/>
      <c r="I148" s="69"/>
    </row>
    <row r="149" spans="1:4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0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0" ht="27.65" customHeight="1">
      <c r="A151" s="681" t="str">
        <f>I23</f>
        <v>Limpeza</v>
      </c>
      <c r="B151" s="682"/>
      <c r="C151" s="683">
        <f>(I147-I117)</f>
        <v>1825.4114999999999</v>
      </c>
      <c r="D151" s="683"/>
      <c r="E151" s="72">
        <v>1</v>
      </c>
      <c r="F151" s="683">
        <f>(I147-I117)</f>
        <v>1825.4114999999999</v>
      </c>
      <c r="G151" s="683"/>
      <c r="H151" s="72">
        <v>1</v>
      </c>
      <c r="I151" s="141">
        <f>F151*H151</f>
        <v>1825.4114999999999</v>
      </c>
    </row>
    <row r="152" spans="1:4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TRUNC(SUM(I152,I151),2)</f>
        <v>1825.41</v>
      </c>
    </row>
    <row r="154" spans="1:4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21904.92</v>
      </c>
    </row>
    <row r="155" spans="1:40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</row>
    <row r="157" spans="1:40">
      <c r="A157" s="687" t="s">
        <v>131</v>
      </c>
      <c r="B157" s="688"/>
      <c r="C157" s="688"/>
      <c r="D157" s="688"/>
      <c r="E157" s="312"/>
      <c r="F157" s="689" t="s">
        <v>132</v>
      </c>
      <c r="G157" s="689"/>
      <c r="H157" s="689"/>
      <c r="I157" s="690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</row>
    <row r="158" spans="1:40">
      <c r="A158" s="691" t="s">
        <v>317</v>
      </c>
      <c r="B158" s="692"/>
      <c r="C158" s="692"/>
      <c r="D158" s="692"/>
      <c r="E158" s="184"/>
      <c r="F158" s="692" t="s">
        <v>317</v>
      </c>
      <c r="G158" s="692"/>
      <c r="H158" s="692"/>
      <c r="I158" s="693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</row>
    <row r="159" spans="1:40">
      <c r="A159" s="33" t="s">
        <v>133</v>
      </c>
      <c r="B159" s="34" t="s">
        <v>142</v>
      </c>
      <c r="C159" s="34" t="s">
        <v>134</v>
      </c>
      <c r="D159" s="34" t="s">
        <v>24</v>
      </c>
      <c r="E159" s="184"/>
      <c r="F159" s="34" t="s">
        <v>133</v>
      </c>
      <c r="G159" s="34" t="s">
        <v>142</v>
      </c>
      <c r="H159" s="34" t="s">
        <v>134</v>
      </c>
      <c r="I159" s="35" t="s">
        <v>101</v>
      </c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</row>
    <row r="160" spans="1:40">
      <c r="A160" s="180">
        <v>0</v>
      </c>
      <c r="B160" s="182">
        <v>1</v>
      </c>
      <c r="C160" s="182">
        <v>26</v>
      </c>
      <c r="D160" s="183">
        <f>A160*B160*C160</f>
        <v>0</v>
      </c>
      <c r="E160" s="345" t="s">
        <v>583</v>
      </c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</row>
    <row r="161" spans="1:40">
      <c r="A161" s="185"/>
      <c r="B161" s="186"/>
      <c r="C161" s="186"/>
      <c r="D161" s="187"/>
      <c r="E161" s="184"/>
      <c r="F161" s="188"/>
      <c r="G161" s="79"/>
      <c r="H161" s="79"/>
      <c r="I161" s="82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</row>
    <row r="162" spans="1:40" ht="18.649999999999999" customHeight="1">
      <c r="A162" s="189" t="s">
        <v>33</v>
      </c>
      <c r="B162" s="182" t="s">
        <v>3</v>
      </c>
      <c r="C162" s="182" t="s">
        <v>24</v>
      </c>
      <c r="D162" s="195"/>
      <c r="E162" s="184"/>
      <c r="F162" s="182" t="s">
        <v>24</v>
      </c>
      <c r="G162" s="34"/>
      <c r="H162" s="34" t="s">
        <v>24</v>
      </c>
      <c r="I162" s="43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</row>
    <row r="163" spans="1:40">
      <c r="A163" s="44">
        <f>I31</f>
        <v>481.09090909090907</v>
      </c>
      <c r="B163" s="34">
        <v>6</v>
      </c>
      <c r="C163" s="38">
        <v>0</v>
      </c>
      <c r="D163" s="41"/>
      <c r="E163" s="184"/>
      <c r="F163" s="38">
        <f>I160</f>
        <v>348.8329</v>
      </c>
      <c r="G163" s="45">
        <v>0.2</v>
      </c>
      <c r="H163" s="38">
        <f>F163*G163</f>
        <v>69.766580000000005</v>
      </c>
      <c r="I163" s="43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</row>
    <row r="164" spans="1:40">
      <c r="A164" s="46"/>
      <c r="B164" s="40"/>
      <c r="C164" s="40"/>
      <c r="D164" s="41"/>
      <c r="E164" s="184"/>
      <c r="F164" s="42"/>
      <c r="G164" s="40"/>
      <c r="H164" s="40"/>
      <c r="I164" s="43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</row>
    <row r="165" spans="1:40" ht="14.5" thickBot="1">
      <c r="A165" s="47" t="s">
        <v>135</v>
      </c>
      <c r="B165" s="48"/>
      <c r="C165" s="49"/>
      <c r="D165" s="41"/>
      <c r="E165" s="184"/>
      <c r="F165" s="48" t="s">
        <v>136</v>
      </c>
      <c r="G165" s="48"/>
      <c r="H165" s="49"/>
      <c r="I165" s="43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</row>
    <row r="166" spans="1:40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184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</row>
    <row r="167" spans="1:40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0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0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60" sqref="K6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60" sqref="K6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8:G128"/>
    <mergeCell ref="B129:G129"/>
    <mergeCell ref="B130:G130"/>
    <mergeCell ref="B127:G127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ilha43">
    <tabColor rgb="FF92D050"/>
  </sheetPr>
  <dimension ref="A1:AN169"/>
  <sheetViews>
    <sheetView view="pageBreakPreview" topLeftCell="A64" zoomScaleNormal="96" zoomScaleSheetLayoutView="100" workbookViewId="0">
      <selection activeCell="K8" sqref="K8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1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322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71"/>
      <c r="B13" s="172"/>
      <c r="C13" s="172"/>
      <c r="D13" s="172"/>
      <c r="E13" s="172"/>
      <c r="F13" s="172"/>
      <c r="G13" s="172"/>
      <c r="H13" s="172"/>
      <c r="I13" s="171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0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0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0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0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0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0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</row>
    <row r="23" spans="1:40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</row>
    <row r="24" spans="1:40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</row>
    <row r="25" spans="1:40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</row>
    <row r="26" spans="1:40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</row>
    <row r="27" spans="1:40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</row>
    <row r="28" spans="1:40">
      <c r="A28" s="143"/>
      <c r="B28" s="3"/>
      <c r="C28" s="3"/>
      <c r="D28" s="3"/>
      <c r="E28" s="3"/>
      <c r="F28" s="3"/>
      <c r="G28" s="3"/>
      <c r="H28" s="3"/>
      <c r="I28" s="6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</row>
    <row r="29" spans="1:40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</row>
    <row r="30" spans="1:40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</row>
    <row r="31" spans="1:40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</row>
    <row r="32" spans="1:40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</row>
    <row r="33" spans="1:40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</row>
    <row r="34" spans="1:40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</row>
    <row r="35" spans="1:40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</row>
    <row r="36" spans="1:40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</row>
    <row r="37" spans="1:40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</row>
    <row r="38" spans="1:40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</row>
    <row r="39" spans="1:40">
      <c r="A39" s="95"/>
      <c r="B39" s="95"/>
      <c r="C39" s="95"/>
      <c r="D39" s="95"/>
      <c r="E39" s="95"/>
      <c r="F39" s="95"/>
      <c r="G39" s="95"/>
      <c r="H39" s="95"/>
      <c r="I39" s="11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</row>
    <row r="40" spans="1:40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</row>
    <row r="41" spans="1:40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</row>
    <row r="42" spans="1:40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</row>
    <row r="43" spans="1:40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</row>
    <row r="44" spans="1:40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</row>
    <row r="45" spans="1:40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</row>
    <row r="46" spans="1:40">
      <c r="A46" s="95"/>
      <c r="B46" s="95"/>
      <c r="C46" s="95"/>
      <c r="D46" s="95"/>
      <c r="E46" s="95"/>
      <c r="F46" s="95"/>
      <c r="G46" s="95"/>
      <c r="H46" s="15"/>
      <c r="I46" s="11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</row>
    <row r="47" spans="1:40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</row>
    <row r="48" spans="1:40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</row>
    <row r="49" spans="1:40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</row>
    <row r="50" spans="1:40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</row>
    <row r="51" spans="1:40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</row>
    <row r="52" spans="1:40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</row>
    <row r="53" spans="1:40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</row>
    <row r="54" spans="1:40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</row>
    <row r="55" spans="1:40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</row>
    <row r="56" spans="1:40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</row>
    <row r="57" spans="1:40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</row>
    <row r="58" spans="1:40">
      <c r="A58" s="16"/>
      <c r="B58" s="16"/>
      <c r="C58" s="16"/>
      <c r="D58" s="16"/>
      <c r="E58" s="16"/>
      <c r="F58" s="16"/>
      <c r="G58" s="16"/>
      <c r="H58" s="17"/>
      <c r="I58" s="18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</row>
    <row r="59" spans="1:40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</row>
    <row r="60" spans="1:40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</row>
    <row r="61" spans="1:40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127.13454545454546</v>
      </c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</row>
    <row r="62" spans="1:40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</row>
    <row r="63" spans="1:40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</row>
    <row r="64" spans="1:40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</row>
    <row r="65" spans="1:40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</row>
    <row r="66" spans="1:40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</row>
    <row r="67" spans="1:40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</row>
    <row r="68" spans="1:40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</row>
    <row r="69" spans="1:40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</row>
    <row r="70" spans="1:40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</row>
    <row r="71" spans="1:40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</row>
    <row r="72" spans="1:40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</row>
    <row r="73" spans="1:40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549.70079999999996</v>
      </c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</row>
    <row r="74" spans="1:40">
      <c r="A74" s="95"/>
      <c r="B74" s="95"/>
      <c r="C74" s="95"/>
      <c r="D74" s="95"/>
      <c r="E74" s="95"/>
      <c r="F74" s="95"/>
      <c r="G74" s="95"/>
      <c r="H74" s="95"/>
      <c r="I74" s="11"/>
    </row>
    <row r="75" spans="1:40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0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0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0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0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549.70079999999996</v>
      </c>
    </row>
    <row r="80" spans="1:40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799.86059999999998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109.39684999999999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21.879369999999998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0.46698977258079993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0.24067306999999999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1.8736530195803904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133.85749999999999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133.85749999999999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133.85749999999999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82.98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118.33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13.242707224958949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61.12018719211823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101.8669786535304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377.53980000000001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799.86059999999998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133.85749999999999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0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1659.7997</v>
      </c>
    </row>
    <row r="146" spans="1:40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377.53980000000001</v>
      </c>
    </row>
    <row r="147" spans="1:40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2037.3395</v>
      </c>
    </row>
    <row r="148" spans="1:40">
      <c r="A148" s="5"/>
      <c r="B148" s="5"/>
      <c r="C148" s="5"/>
      <c r="D148" s="5"/>
      <c r="E148" s="5"/>
      <c r="F148" s="5"/>
      <c r="G148" s="5"/>
      <c r="H148" s="5"/>
      <c r="I148" s="69"/>
    </row>
    <row r="149" spans="1:40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0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0" ht="27.65" customHeight="1">
      <c r="A151" s="681" t="str">
        <f>I23</f>
        <v>Limpeza</v>
      </c>
      <c r="B151" s="682"/>
      <c r="C151" s="683">
        <f>(I147-I117)</f>
        <v>2037.3395</v>
      </c>
      <c r="D151" s="683"/>
      <c r="E151" s="72">
        <v>1</v>
      </c>
      <c r="F151" s="683">
        <f>(I147-I117)</f>
        <v>2037.3395</v>
      </c>
      <c r="G151" s="683"/>
      <c r="H151" s="72">
        <v>1</v>
      </c>
      <c r="I151" s="141">
        <f>F151*H151</f>
        <v>2037.3395</v>
      </c>
    </row>
    <row r="152" spans="1:40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40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2037.3395</v>
      </c>
    </row>
    <row r="154" spans="1:40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24448.074000000001</v>
      </c>
    </row>
    <row r="155" spans="1:40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0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</row>
    <row r="157" spans="1:40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</row>
    <row r="158" spans="1:40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</row>
    <row r="159" spans="1:40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</row>
    <row r="160" spans="1:40">
      <c r="A160" s="180">
        <v>6</v>
      </c>
      <c r="B160" s="182">
        <v>1</v>
      </c>
      <c r="C160" s="182">
        <v>26</v>
      </c>
      <c r="D160" s="183">
        <f>A160*B160*C160</f>
        <v>156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</row>
    <row r="161" spans="1:40">
      <c r="A161" s="77"/>
      <c r="B161" s="78"/>
      <c r="C161" s="79"/>
      <c r="D161" s="80"/>
      <c r="E161" s="32"/>
      <c r="F161" s="81"/>
      <c r="G161" s="79"/>
      <c r="H161" s="79"/>
      <c r="I161" s="82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</row>
    <row r="162" spans="1:40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</row>
    <row r="163" spans="1:40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</row>
    <row r="164" spans="1:40">
      <c r="A164" s="46"/>
      <c r="B164" s="40"/>
      <c r="C164" s="40"/>
      <c r="D164" s="41"/>
      <c r="E164" s="32"/>
      <c r="F164" s="42"/>
      <c r="G164" s="40"/>
      <c r="H164" s="40"/>
      <c r="I164" s="43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</row>
    <row r="165" spans="1:40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</row>
    <row r="166" spans="1:40" ht="26.25" customHeight="1" thickBot="1">
      <c r="A166" s="44">
        <f>D160</f>
        <v>156</v>
      </c>
      <c r="B166" s="50">
        <f>C163</f>
        <v>28.865454545454543</v>
      </c>
      <c r="C166" s="51">
        <f>A166-B166</f>
        <v>127.13454545454546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</row>
    <row r="167" spans="1:40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0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0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O23" sqref="O2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O23" sqref="O2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7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8:G128"/>
    <mergeCell ref="B129:G129"/>
    <mergeCell ref="B130:G130"/>
    <mergeCell ref="B127:G127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8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ilha44">
    <tabColor rgb="FF92D050"/>
  </sheetPr>
  <dimension ref="A1:AO169"/>
  <sheetViews>
    <sheetView view="pageBreakPreview" zoomScaleNormal="96" zoomScaleSheetLayoutView="100" workbookViewId="0">
      <selection activeCell="I28" sqref="I28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321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152">
        <v>12</v>
      </c>
    </row>
    <row r="13" spans="1:9">
      <c r="A13" s="171"/>
      <c r="B13" s="172"/>
      <c r="C13" s="172"/>
      <c r="D13" s="172"/>
      <c r="E13" s="172"/>
      <c r="F13" s="172"/>
      <c r="G13" s="172"/>
      <c r="H13" s="172"/>
      <c r="I13" s="171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</row>
    <row r="24" spans="1:4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</row>
    <row r="25" spans="1:4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</row>
    <row r="26" spans="1:4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</row>
    <row r="27" spans="1:4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</row>
    <row r="28" spans="1:41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</row>
    <row r="29" spans="1:41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</row>
    <row r="30" spans="1:4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</row>
    <row r="31" spans="1:4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</row>
    <row r="32" spans="1:41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</row>
    <row r="33" spans="1:41">
      <c r="A33" s="9" t="s">
        <v>13</v>
      </c>
      <c r="B33" s="645" t="s">
        <v>42</v>
      </c>
      <c r="C33" s="645"/>
      <c r="D33" s="645"/>
      <c r="E33" s="645"/>
      <c r="F33" s="645"/>
      <c r="G33" s="645"/>
      <c r="H33" s="17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</row>
    <row r="34" spans="1:41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</row>
    <row r="35" spans="1:41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</row>
    <row r="36" spans="1:41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</row>
    <row r="37" spans="1:4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</row>
    <row r="38" spans="1:4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</row>
    <row r="39" spans="1:41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</row>
    <row r="40" spans="1:4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</row>
    <row r="41" spans="1:4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</row>
    <row r="42" spans="1:4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</row>
    <row r="43" spans="1:4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</row>
    <row r="44" spans="1:4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</row>
    <row r="45" spans="1:4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</row>
    <row r="46" spans="1:41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</row>
    <row r="47" spans="1:4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</row>
    <row r="48" spans="1:4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</row>
    <row r="49" spans="1:4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</row>
    <row r="50" spans="1:4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</row>
    <row r="51" spans="1:4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</row>
    <row r="52" spans="1:4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</row>
    <row r="53" spans="1:4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</row>
    <row r="54" spans="1:4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</row>
    <row r="55" spans="1:4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</row>
    <row r="56" spans="1:4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</row>
    <row r="57" spans="1:4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</row>
    <row r="58" spans="1:41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</row>
    <row r="59" spans="1:4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</row>
    <row r="60" spans="1:4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</row>
    <row r="61" spans="1:4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6</v>
      </c>
      <c r="I61" s="70">
        <f>C166</f>
        <v>127.13454545454546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</row>
    <row r="62" spans="1:4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</row>
    <row r="63" spans="1:4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</row>
    <row r="64" spans="1:4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</row>
    <row r="65" spans="1:4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</row>
    <row r="66" spans="1:4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</row>
    <row r="67" spans="1:4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</row>
    <row r="68" spans="1:4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549.70079999999996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>
      <c r="A74" s="95"/>
      <c r="B74" s="95"/>
      <c r="C74" s="95"/>
      <c r="D74" s="95"/>
      <c r="E74" s="95"/>
      <c r="F74" s="95"/>
      <c r="G74" s="95"/>
      <c r="H74" s="95"/>
      <c r="I74" s="11"/>
    </row>
    <row r="75" spans="1:4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549.70079999999996</v>
      </c>
    </row>
    <row r="80" spans="1:4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799.86059999999998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109.39684999999999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21.879369999999998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0.46698977258079993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0.24067306999999999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1.8736530195803904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133.85749999999999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133.85749999999999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133.85749999999999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82.98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118.33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13.242707224958949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61.12018719211823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797" t="s">
        <v>141</v>
      </c>
      <c r="C132" s="751"/>
      <c r="D132" s="751"/>
      <c r="E132" s="751"/>
      <c r="F132" s="751"/>
      <c r="G132" s="751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101.8669786535304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0.20440000000000003</v>
      </c>
      <c r="I136" s="10">
        <f>TRUNC(SUM(I124:I135),4)</f>
        <v>377.53980000000001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799.86059999999998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133.85749999999999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1659.7997</v>
      </c>
    </row>
    <row r="146" spans="1:4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377.53980000000001</v>
      </c>
    </row>
    <row r="147" spans="1:4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2037.3395</v>
      </c>
    </row>
    <row r="148" spans="1:41">
      <c r="A148" s="5"/>
      <c r="B148" s="5"/>
      <c r="C148" s="5"/>
      <c r="D148" s="5"/>
      <c r="E148" s="5"/>
      <c r="F148" s="5"/>
      <c r="G148" s="5"/>
      <c r="H148" s="5"/>
      <c r="I148" s="69"/>
    </row>
    <row r="149" spans="1:4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1" ht="27.65" customHeight="1">
      <c r="A151" s="681" t="str">
        <f>I23</f>
        <v>Limpeza</v>
      </c>
      <c r="B151" s="682"/>
      <c r="C151" s="683">
        <f>(I147-I117)</f>
        <v>2037.3395</v>
      </c>
      <c r="D151" s="683"/>
      <c r="E151" s="72">
        <v>1</v>
      </c>
      <c r="F151" s="683">
        <f>(I147-I117)</f>
        <v>2037.3395</v>
      </c>
      <c r="G151" s="683"/>
      <c r="H151" s="72">
        <v>1</v>
      </c>
      <c r="I151" s="141">
        <f>F151*H151</f>
        <v>2037.3395</v>
      </c>
    </row>
    <row r="152" spans="1:4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/>
    </row>
    <row r="153" spans="1:4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2037.3395</v>
      </c>
    </row>
    <row r="154" spans="1:4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24448.074000000001</v>
      </c>
    </row>
    <row r="155" spans="1:4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</row>
    <row r="157" spans="1:4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</row>
    <row r="158" spans="1:4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</row>
    <row r="159" spans="1:4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</row>
    <row r="160" spans="1:41">
      <c r="A160" s="180">
        <v>6</v>
      </c>
      <c r="B160" s="37">
        <v>1</v>
      </c>
      <c r="C160" s="37">
        <v>26</v>
      </c>
      <c r="D160" s="99">
        <f>A160*B160*C160</f>
        <v>156</v>
      </c>
      <c r="E160" s="32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</row>
    <row r="161" spans="1:41">
      <c r="A161" s="77"/>
      <c r="B161" s="78"/>
      <c r="C161" s="79"/>
      <c r="D161" s="80"/>
      <c r="E161" s="32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</row>
    <row r="162" spans="1:4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</row>
    <row r="163" spans="1:4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</row>
    <row r="164" spans="1:41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</row>
    <row r="165" spans="1:4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</row>
    <row r="166" spans="1:41" ht="26.25" customHeight="1" thickBot="1">
      <c r="A166" s="44">
        <f>D160</f>
        <v>156</v>
      </c>
      <c r="B166" s="50">
        <f>C163</f>
        <v>28.865454545454543</v>
      </c>
      <c r="C166" s="51">
        <f>A166-B166</f>
        <v>127.13454545454546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</row>
    <row r="167" spans="1:4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J16" sqref="J16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J16" sqref="J16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8:G128"/>
    <mergeCell ref="B129:G129"/>
    <mergeCell ref="B130:G130"/>
    <mergeCell ref="B127:G127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7" firstPageNumber="0" orientation="portrait" verticalDpi="300" r:id="rId6"/>
  <headerFooter alignWithMargins="0"/>
  <rowBreaks count="1" manualBreakCount="1">
    <brk id="91" max="9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ilha45">
    <tabColor rgb="FF92D050"/>
  </sheetPr>
  <dimension ref="A1:AK169"/>
  <sheetViews>
    <sheetView view="pageBreakPreview" zoomScaleNormal="96" zoomScaleSheetLayoutView="100" workbookViewId="0">
      <selection activeCell="H39" sqref="H39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320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93"/>
      <c r="B13" s="194"/>
      <c r="C13" s="194"/>
      <c r="D13" s="194"/>
      <c r="E13" s="194"/>
      <c r="F13" s="194"/>
      <c r="G13" s="194"/>
      <c r="H13" s="194"/>
      <c r="I13" s="19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37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37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37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37" ht="15" customHeight="1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37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37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</row>
    <row r="23" spans="1:37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</row>
    <row r="24" spans="1:37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</row>
    <row r="25" spans="1:37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</row>
    <row r="26" spans="1:37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</row>
    <row r="27" spans="1:37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</row>
    <row r="28" spans="1:37">
      <c r="A28" s="143"/>
      <c r="B28" s="3"/>
      <c r="C28" s="3"/>
      <c r="D28" s="3"/>
      <c r="E28" s="3"/>
      <c r="F28" s="3"/>
      <c r="G28" s="3"/>
      <c r="H28" s="3"/>
      <c r="I28" s="6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</row>
    <row r="29" spans="1:37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</row>
    <row r="30" spans="1:37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</row>
    <row r="31" spans="1:37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</row>
    <row r="32" spans="1:37">
      <c r="A32" s="9" t="s">
        <v>12</v>
      </c>
      <c r="B32" s="645" t="s">
        <v>313</v>
      </c>
      <c r="C32" s="645"/>
      <c r="D32" s="645"/>
      <c r="E32" s="645"/>
      <c r="F32" s="645"/>
      <c r="G32" s="645"/>
      <c r="H32" s="178">
        <v>0</v>
      </c>
      <c r="I32" s="29"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</row>
    <row r="33" spans="1:37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</row>
    <row r="34" spans="1:37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</row>
    <row r="35" spans="1:37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</row>
    <row r="36" spans="1:37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</row>
    <row r="37" spans="1:37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</row>
    <row r="38" spans="1:37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</row>
    <row r="39" spans="1:37">
      <c r="A39" s="95"/>
      <c r="B39" s="95"/>
      <c r="C39" s="95"/>
      <c r="D39" s="95"/>
      <c r="E39" s="95"/>
      <c r="F39" s="95"/>
      <c r="G39" s="95"/>
      <c r="H39" s="95"/>
      <c r="I39" s="11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</row>
    <row r="40" spans="1:37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</row>
    <row r="41" spans="1:37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</row>
    <row r="42" spans="1:37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</row>
    <row r="43" spans="1:37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</row>
    <row r="44" spans="1:37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</row>
    <row r="45" spans="1:37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</row>
    <row r="46" spans="1:37">
      <c r="A46" s="95"/>
      <c r="B46" s="95"/>
      <c r="C46" s="95"/>
      <c r="D46" s="95"/>
      <c r="E46" s="95"/>
      <c r="F46" s="95"/>
      <c r="G46" s="95"/>
      <c r="H46" s="15"/>
      <c r="I46" s="1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</row>
    <row r="47" spans="1:37" ht="15" customHeight="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</row>
    <row r="48" spans="1:37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</row>
    <row r="49" spans="1:37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</row>
    <row r="50" spans="1:37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</row>
    <row r="51" spans="1:37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</row>
    <row r="52" spans="1:37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</row>
    <row r="53" spans="1:37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</row>
    <row r="54" spans="1:37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</row>
    <row r="55" spans="1:37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</row>
    <row r="56" spans="1:37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</row>
    <row r="57" spans="1:37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</row>
    <row r="58" spans="1:37">
      <c r="A58" s="16"/>
      <c r="B58" s="16"/>
      <c r="C58" s="16"/>
      <c r="D58" s="16"/>
      <c r="E58" s="16"/>
      <c r="F58" s="16"/>
      <c r="G58" s="16"/>
      <c r="H58" s="17"/>
      <c r="I58" s="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</row>
    <row r="59" spans="1:37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</row>
    <row r="60" spans="1:37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</row>
    <row r="61" spans="1:37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3.5</v>
      </c>
      <c r="I61" s="70">
        <f>C166</f>
        <v>62.13454545454546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</row>
    <row r="62" spans="1:37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</row>
    <row r="63" spans="1:37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</row>
    <row r="64" spans="1:37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</row>
    <row r="65" spans="1:37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</row>
    <row r="66" spans="1:37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</row>
    <row r="67" spans="1:37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</row>
    <row r="68" spans="1:37">
      <c r="A68" s="9" t="s">
        <v>18</v>
      </c>
      <c r="B68" s="661" t="s">
        <v>312</v>
      </c>
      <c r="C68" s="661"/>
      <c r="D68" s="661"/>
      <c r="E68" s="661"/>
      <c r="F68" s="661"/>
      <c r="G68" s="661"/>
      <c r="H68" s="176">
        <v>0</v>
      </c>
      <c r="I68" s="70">
        <v>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</row>
    <row r="69" spans="1:37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</row>
    <row r="70" spans="1:37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</row>
    <row r="71" spans="1:37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</row>
    <row r="72" spans="1:37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</row>
    <row r="73" spans="1:37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484.70080000000002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</row>
    <row r="74" spans="1:37">
      <c r="A74" s="95"/>
      <c r="B74" s="95"/>
      <c r="C74" s="95"/>
      <c r="D74" s="95"/>
      <c r="E74" s="95"/>
      <c r="F74" s="95"/>
      <c r="G74" s="95"/>
      <c r="H74" s="95"/>
      <c r="I74" s="11"/>
    </row>
    <row r="75" spans="1:37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37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37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37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37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484.70080000000002</v>
      </c>
    </row>
    <row r="80" spans="1:37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734.86059999999998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103.98018333333331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20.796036666666666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0.44386727924746661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0.2287564033333333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1.7808811175003905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127.22969999999999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127.22969999999999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127.22969999999999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79.400000000000006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113.22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20"/>
      <c r="I127" s="21"/>
    </row>
    <row r="128" spans="1:9">
      <c r="A128" s="9"/>
      <c r="B128" s="645" t="s">
        <v>425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12.399729351901447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57.229520085698987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0.03</v>
      </c>
      <c r="I135" s="209">
        <f>(I145+I124+I125)/(1-SUM(E128:H135))*H135</f>
        <v>57.229520085698987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24">
        <f>SUM(H124:H135)</f>
        <v>0.18440000000000001</v>
      </c>
      <c r="I136" s="10">
        <f>TRUNC(SUM(I124:I135),4)</f>
        <v>319.4787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734.86059999999998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127.22969999999999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37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1588.1719000000001</v>
      </c>
    </row>
    <row r="146" spans="1:37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319.4787</v>
      </c>
    </row>
    <row r="147" spans="1:37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1907.6505999999999</v>
      </c>
    </row>
    <row r="148" spans="1:37">
      <c r="A148" s="5"/>
      <c r="B148" s="5"/>
      <c r="C148" s="5"/>
      <c r="D148" s="5"/>
      <c r="E148" s="5"/>
      <c r="F148" s="5"/>
      <c r="G148" s="5"/>
      <c r="H148" s="5"/>
      <c r="I148" s="69"/>
    </row>
    <row r="149" spans="1:37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37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37" ht="27.65" customHeight="1">
      <c r="A151" s="681" t="str">
        <f>I23</f>
        <v>Limpeza</v>
      </c>
      <c r="B151" s="682"/>
      <c r="C151" s="683">
        <f>(I147-I117)</f>
        <v>1907.6505999999999</v>
      </c>
      <c r="D151" s="683"/>
      <c r="E151" s="72">
        <v>1</v>
      </c>
      <c r="F151" s="683">
        <f>(I147-I117)</f>
        <v>1907.6505999999999</v>
      </c>
      <c r="G151" s="683"/>
      <c r="H151" s="72">
        <v>1</v>
      </c>
      <c r="I151" s="141">
        <f>F151*H151</f>
        <v>1907.6505999999999</v>
      </c>
    </row>
    <row r="152" spans="1:37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37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1907.6505999999999</v>
      </c>
    </row>
    <row r="154" spans="1:37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22891.807199999999</v>
      </c>
    </row>
    <row r="155" spans="1:37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37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</row>
    <row r="157" spans="1:37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</row>
    <row r="158" spans="1:37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</row>
    <row r="159" spans="1:37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</row>
    <row r="160" spans="1:37">
      <c r="A160" s="180">
        <v>3.5</v>
      </c>
      <c r="B160" s="37">
        <v>1</v>
      </c>
      <c r="C160" s="37">
        <v>26</v>
      </c>
      <c r="D160" s="99">
        <f>A160*B160*C160</f>
        <v>91</v>
      </c>
      <c r="E160" s="32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</row>
    <row r="161" spans="1:37">
      <c r="A161" s="77"/>
      <c r="B161" s="78"/>
      <c r="C161" s="79"/>
      <c r="D161" s="80"/>
      <c r="E161" s="32"/>
      <c r="F161" s="81"/>
      <c r="G161" s="79"/>
      <c r="H161" s="79"/>
      <c r="I161" s="82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</row>
    <row r="162" spans="1:37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</row>
    <row r="163" spans="1:37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</row>
    <row r="164" spans="1:37">
      <c r="A164" s="46"/>
      <c r="B164" s="40"/>
      <c r="C164" s="40"/>
      <c r="D164" s="41"/>
      <c r="E164" s="32"/>
      <c r="F164" s="42"/>
      <c r="G164" s="40"/>
      <c r="H164" s="40"/>
      <c r="I164" s="4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</row>
    <row r="165" spans="1:37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</row>
    <row r="166" spans="1:37" ht="26.25" customHeight="1" thickBot="1">
      <c r="A166" s="44">
        <f>D160</f>
        <v>91</v>
      </c>
      <c r="B166" s="50">
        <f>C163</f>
        <v>28.865454545454543</v>
      </c>
      <c r="C166" s="51">
        <f>A166-B166</f>
        <v>62.13454545454546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</row>
    <row r="167" spans="1:37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37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37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L20" sqref="L2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L20" sqref="L2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8:G128"/>
    <mergeCell ref="B129:G129"/>
    <mergeCell ref="B130:G130"/>
    <mergeCell ref="B127:G127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Planilha46">
    <tabColor rgb="FF92D050"/>
  </sheetPr>
  <dimension ref="A1:AO169"/>
  <sheetViews>
    <sheetView view="pageBreakPreview" topLeftCell="A148" zoomScaleNormal="96" zoomScaleSheetLayoutView="100" workbookViewId="0">
      <selection activeCell="C163" sqref="C163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2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152" t="s">
        <v>11</v>
      </c>
      <c r="B9" s="648" t="s">
        <v>85</v>
      </c>
      <c r="C9" s="648"/>
      <c r="D9" s="648"/>
      <c r="E9" s="648"/>
      <c r="F9" s="648"/>
      <c r="G9" s="648"/>
      <c r="H9" s="648"/>
      <c r="I9" s="4"/>
    </row>
    <row r="10" spans="1:9">
      <c r="A10" s="152" t="s">
        <v>12</v>
      </c>
      <c r="B10" s="648" t="s">
        <v>319</v>
      </c>
      <c r="C10" s="648"/>
      <c r="D10" s="648"/>
      <c r="E10" s="648"/>
      <c r="F10" s="648"/>
      <c r="G10" s="648"/>
      <c r="H10" s="648"/>
      <c r="I10" s="30" t="s">
        <v>428</v>
      </c>
    </row>
    <row r="11" spans="1:9">
      <c r="A11" s="152" t="s">
        <v>13</v>
      </c>
      <c r="B11" s="648" t="s">
        <v>39</v>
      </c>
      <c r="C11" s="648"/>
      <c r="D11" s="648"/>
      <c r="E11" s="648"/>
      <c r="F11" s="648"/>
      <c r="G11" s="648"/>
      <c r="H11" s="648"/>
      <c r="I11" s="30" t="s">
        <v>598</v>
      </c>
    </row>
    <row r="12" spans="1:9">
      <c r="A12" s="152" t="s">
        <v>14</v>
      </c>
      <c r="B12" s="648" t="s">
        <v>34</v>
      </c>
      <c r="C12" s="648"/>
      <c r="D12" s="648"/>
      <c r="E12" s="648"/>
      <c r="F12" s="648"/>
      <c r="G12" s="648"/>
      <c r="H12" s="648"/>
      <c r="I12" s="30">
        <v>12</v>
      </c>
    </row>
    <row r="13" spans="1:9">
      <c r="A13" s="171"/>
      <c r="B13" s="172"/>
      <c r="C13" s="172"/>
      <c r="D13" s="172"/>
      <c r="E13" s="172"/>
      <c r="F13" s="172"/>
      <c r="G13" s="172"/>
      <c r="H13" s="172"/>
      <c r="I13" s="171"/>
    </row>
    <row r="14" spans="1:9">
      <c r="A14" s="639" t="s">
        <v>129</v>
      </c>
      <c r="B14" s="640"/>
      <c r="C14" s="640"/>
      <c r="D14" s="640"/>
      <c r="E14" s="640"/>
      <c r="F14" s="640"/>
      <c r="G14" s="640"/>
      <c r="H14" s="640"/>
      <c r="I14" s="641"/>
    </row>
    <row r="15" spans="1:9">
      <c r="A15" s="638" t="s">
        <v>35</v>
      </c>
      <c r="B15" s="638"/>
      <c r="C15" s="638" t="s">
        <v>300</v>
      </c>
      <c r="D15" s="638"/>
      <c r="E15" s="638" t="s">
        <v>130</v>
      </c>
      <c r="F15" s="638"/>
      <c r="G15" s="638"/>
      <c r="H15" s="638"/>
      <c r="I15" s="638"/>
    </row>
    <row r="16" spans="1:9">
      <c r="A16" s="638" t="s">
        <v>292</v>
      </c>
      <c r="B16" s="638"/>
      <c r="C16" s="638"/>
      <c r="D16" s="638"/>
      <c r="E16" s="638">
        <v>1</v>
      </c>
      <c r="F16" s="638"/>
      <c r="G16" s="638"/>
      <c r="H16" s="638"/>
      <c r="I16" s="638"/>
    </row>
    <row r="17" spans="1:41">
      <c r="A17" s="638"/>
      <c r="B17" s="638"/>
      <c r="C17" s="638"/>
      <c r="D17" s="638"/>
      <c r="E17" s="638"/>
      <c r="F17" s="638"/>
      <c r="G17" s="638"/>
      <c r="H17" s="638"/>
      <c r="I17" s="638"/>
    </row>
    <row r="18" spans="1:41">
      <c r="A18" s="638"/>
      <c r="B18" s="638"/>
      <c r="C18" s="638"/>
      <c r="D18" s="638"/>
      <c r="E18" s="638"/>
      <c r="F18" s="638"/>
      <c r="G18" s="638"/>
      <c r="H18" s="638"/>
      <c r="I18" s="638"/>
    </row>
    <row r="19" spans="1:41">
      <c r="A19" s="160"/>
      <c r="B19" s="160"/>
      <c r="C19" s="160"/>
      <c r="D19" s="160"/>
      <c r="E19" s="160"/>
      <c r="F19" s="160"/>
      <c r="G19" s="160"/>
      <c r="H19" s="160"/>
      <c r="I19" s="160"/>
    </row>
    <row r="20" spans="1:41">
      <c r="A20" s="649" t="s">
        <v>86</v>
      </c>
      <c r="B20" s="649"/>
      <c r="C20" s="163"/>
      <c r="D20" s="163"/>
      <c r="E20" s="163"/>
      <c r="F20" s="163"/>
      <c r="G20" s="163"/>
      <c r="H20" s="163"/>
      <c r="I20" s="163"/>
    </row>
    <row r="21" spans="1:41">
      <c r="A21" s="118" t="s">
        <v>98</v>
      </c>
      <c r="B21" s="161"/>
      <c r="C21" s="161"/>
      <c r="D21" s="161"/>
      <c r="E21" s="161"/>
      <c r="F21" s="161"/>
      <c r="G21" s="161"/>
      <c r="H21" s="160"/>
      <c r="I21" s="160"/>
    </row>
    <row r="22" spans="1:41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</row>
    <row r="24" spans="1:41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</row>
    <row r="25" spans="1:41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</row>
    <row r="26" spans="1:41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</row>
    <row r="27" spans="1:41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</row>
    <row r="28" spans="1:41">
      <c r="A28" s="143"/>
      <c r="B28" s="3"/>
      <c r="C28" s="3"/>
      <c r="D28" s="3"/>
      <c r="E28" s="3"/>
      <c r="F28" s="3"/>
      <c r="G28" s="3"/>
      <c r="H28" s="3"/>
      <c r="I28" s="6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</row>
    <row r="29" spans="1:41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</row>
    <row r="30" spans="1:41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</row>
    <row r="31" spans="1:41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</row>
    <row r="32" spans="1:41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</row>
    <row r="33" spans="1:41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f>H33*I31</f>
        <v>0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</row>
    <row r="34" spans="1:41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</row>
    <row r="35" spans="1:41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</row>
    <row r="36" spans="1:41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</row>
    <row r="37" spans="1:41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</row>
    <row r="38" spans="1:41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</row>
    <row r="39" spans="1:41">
      <c r="A39" s="95"/>
      <c r="B39" s="95"/>
      <c r="C39" s="95"/>
      <c r="D39" s="95"/>
      <c r="E39" s="95"/>
      <c r="F39" s="95"/>
      <c r="G39" s="95"/>
      <c r="H39" s="95"/>
      <c r="I39" s="11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</row>
    <row r="40" spans="1:41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</row>
    <row r="41" spans="1:41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</row>
    <row r="42" spans="1:41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</row>
    <row r="43" spans="1:41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</row>
    <row r="44" spans="1:41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</row>
    <row r="45" spans="1:41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</row>
    <row r="46" spans="1:41">
      <c r="A46" s="95"/>
      <c r="B46" s="95"/>
      <c r="C46" s="95"/>
      <c r="D46" s="95"/>
      <c r="E46" s="95"/>
      <c r="F46" s="95"/>
      <c r="G46" s="95"/>
      <c r="H46" s="15"/>
      <c r="I46" s="11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</row>
    <row r="47" spans="1:41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</row>
    <row r="48" spans="1:41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</row>
    <row r="49" spans="1:41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</row>
    <row r="50" spans="1:41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</row>
    <row r="51" spans="1:41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3">
        <v>0.03</v>
      </c>
      <c r="I51" s="29">
        <f>(I38+I45)*H51</f>
        <v>16.036199999999997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</row>
    <row r="52" spans="1:41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</row>
    <row r="53" spans="1:41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</row>
    <row r="54" spans="1:41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</row>
    <row r="55" spans="1:41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</row>
    <row r="56" spans="1:41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</row>
    <row r="57" spans="1:41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</row>
    <row r="58" spans="1:41">
      <c r="A58" s="16"/>
      <c r="B58" s="16"/>
      <c r="C58" s="16"/>
      <c r="D58" s="16"/>
      <c r="E58" s="16"/>
      <c r="F58" s="16"/>
      <c r="G58" s="16"/>
      <c r="H58" s="17"/>
      <c r="I58" s="18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</row>
    <row r="59" spans="1:41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</row>
    <row r="60" spans="1:41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</row>
    <row r="61" spans="1:41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4.3</v>
      </c>
      <c r="I61" s="70">
        <f>C166</f>
        <v>82.934545454545457</v>
      </c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</row>
    <row r="62" spans="1:41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</row>
    <row r="63" spans="1:41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</row>
    <row r="64" spans="1:41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</row>
    <row r="65" spans="1:41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</row>
    <row r="66" spans="1:41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</row>
    <row r="67" spans="1:41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</row>
    <row r="68" spans="1:41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</row>
    <row r="69" spans="1:41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</row>
    <row r="70" spans="1:41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</row>
    <row r="71" spans="1:41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</row>
    <row r="72" spans="1:41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</row>
    <row r="73" spans="1:41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505.50080000000003</v>
      </c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>
      <c r="A74" s="95"/>
      <c r="B74" s="95"/>
      <c r="C74" s="95"/>
      <c r="D74" s="95"/>
      <c r="E74" s="95"/>
      <c r="F74" s="95"/>
      <c r="G74" s="95"/>
      <c r="H74" s="95"/>
      <c r="I74" s="11"/>
    </row>
    <row r="75" spans="1:41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41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41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41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41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505.50080000000003</v>
      </c>
    </row>
    <row r="80" spans="1:41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755.66060000000004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105.71351666666666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21.142703333333333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0.45126647711413337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0.23256973666666669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1.8105681261659907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129.35059999999999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129.35059999999999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129.35059999999999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152" t="s">
        <v>0</v>
      </c>
      <c r="I116" s="96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152" t="s">
        <v>0</v>
      </c>
      <c r="I117" s="96"/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152" t="s">
        <v>0</v>
      </c>
      <c r="I118" s="96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80.55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114.86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672"/>
      <c r="I127" s="673"/>
    </row>
    <row r="128" spans="1:9">
      <c r="A128" s="9"/>
      <c r="B128" s="645" t="s">
        <v>425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12.854152380952378</v>
      </c>
    </row>
    <row r="129" spans="1:9">
      <c r="A129" s="9"/>
      <c r="B129" s="645" t="s">
        <v>423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59.326857142857136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0.05</v>
      </c>
      <c r="I135" s="209">
        <f>(I145+I124+I125)/(1-SUM(E128:H135))*H135</f>
        <v>98.878095238095227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0.20440000000000003</v>
      </c>
      <c r="I136" s="10">
        <f>TRUNC(SUM(I124:I135),4)</f>
        <v>366.46910000000003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755.66060000000004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129.35059999999999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41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1611.0927999999999</v>
      </c>
    </row>
    <row r="146" spans="1:41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366.46910000000003</v>
      </c>
    </row>
    <row r="147" spans="1:41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1977.5618999999999</v>
      </c>
    </row>
    <row r="148" spans="1:41">
      <c r="A148" s="5"/>
      <c r="B148" s="5"/>
      <c r="C148" s="5"/>
      <c r="D148" s="5"/>
      <c r="E148" s="5"/>
      <c r="F148" s="5"/>
      <c r="G148" s="5"/>
      <c r="H148" s="5"/>
      <c r="I148" s="69"/>
    </row>
    <row r="149" spans="1:41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41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41" ht="27.65" customHeight="1">
      <c r="A151" s="681" t="str">
        <f>I23</f>
        <v>Limpeza</v>
      </c>
      <c r="B151" s="682"/>
      <c r="C151" s="683">
        <f>(I147-I117)</f>
        <v>1977.5618999999999</v>
      </c>
      <c r="D151" s="683"/>
      <c r="E151" s="72">
        <v>1</v>
      </c>
      <c r="F151" s="683">
        <f>(I147-I117)</f>
        <v>1977.5618999999999</v>
      </c>
      <c r="G151" s="683"/>
      <c r="H151" s="72">
        <v>1</v>
      </c>
      <c r="I151" s="141">
        <f>F151*H151</f>
        <v>1977.5618999999999</v>
      </c>
    </row>
    <row r="152" spans="1:41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96">
        <v>0</v>
      </c>
    </row>
    <row r="153" spans="1:41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1977.5618999999999</v>
      </c>
    </row>
    <row r="154" spans="1:41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23730.7428</v>
      </c>
    </row>
    <row r="155" spans="1:41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41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</row>
    <row r="157" spans="1:41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</row>
    <row r="158" spans="1:41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</row>
    <row r="159" spans="1:41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</row>
    <row r="160" spans="1:41">
      <c r="A160" s="180">
        <v>4.3</v>
      </c>
      <c r="B160" s="182">
        <v>1</v>
      </c>
      <c r="C160" s="182">
        <v>26</v>
      </c>
      <c r="D160" s="183">
        <f>A160*B160*C160</f>
        <v>111.8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</row>
    <row r="161" spans="1:41">
      <c r="A161" s="77"/>
      <c r="B161" s="78"/>
      <c r="C161" s="79"/>
      <c r="D161" s="80"/>
      <c r="E161" s="32"/>
      <c r="F161" s="81"/>
      <c r="G161" s="79"/>
      <c r="H161" s="79"/>
      <c r="I161" s="82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</row>
    <row r="162" spans="1:41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</row>
    <row r="163" spans="1:41">
      <c r="A163" s="44">
        <f>I31</f>
        <v>481.09090909090907</v>
      </c>
      <c r="B163" s="34">
        <v>6</v>
      </c>
      <c r="C163" s="38">
        <f>A163*B163/100</f>
        <v>28.865454545454543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</row>
    <row r="164" spans="1:41">
      <c r="A164" s="46"/>
      <c r="B164" s="40"/>
      <c r="C164" s="40"/>
      <c r="D164" s="41"/>
      <c r="E164" s="32"/>
      <c r="F164" s="42"/>
      <c r="G164" s="40"/>
      <c r="H164" s="40"/>
      <c r="I164" s="43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</row>
    <row r="165" spans="1:41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</row>
    <row r="166" spans="1:41" ht="26.25" customHeight="1" thickBot="1">
      <c r="A166" s="44">
        <f>D160</f>
        <v>111.8</v>
      </c>
      <c r="B166" s="50">
        <f>C163</f>
        <v>28.865454545454543</v>
      </c>
      <c r="C166" s="51">
        <f>A166-B166</f>
        <v>82.934545454545457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</row>
    <row r="167" spans="1:41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41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41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K19" sqref="K19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K19" sqref="K19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7:I127"/>
    <mergeCell ref="B128:G128"/>
    <mergeCell ref="B129:G129"/>
    <mergeCell ref="B130:G130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Planilha47">
    <tabColor rgb="FF92D050"/>
  </sheetPr>
  <dimension ref="A1:V169"/>
  <sheetViews>
    <sheetView view="pageBreakPreview" topLeftCell="A142" zoomScale="98" zoomScaleNormal="96" zoomScaleSheetLayoutView="98" workbookViewId="0">
      <selection activeCell="K24" sqref="K24"/>
    </sheetView>
  </sheetViews>
  <sheetFormatPr defaultColWidth="9.1796875" defaultRowHeight="14"/>
  <cols>
    <col min="1" max="1" width="12.7265625" style="2" customWidth="1"/>
    <col min="2" max="2" width="16.1796875" style="2" customWidth="1"/>
    <col min="3" max="3" width="11.1796875" style="2" customWidth="1"/>
    <col min="4" max="4" width="18.453125" style="2" customWidth="1"/>
    <col min="5" max="5" width="14" style="2" customWidth="1"/>
    <col min="6" max="6" width="12.81640625" style="2" customWidth="1"/>
    <col min="7" max="7" width="12.453125" style="2" customWidth="1"/>
    <col min="8" max="8" width="24.7265625" style="2" bestFit="1" customWidth="1"/>
    <col min="9" max="9" width="13.81640625" style="2" customWidth="1"/>
    <col min="10" max="16384" width="9.1796875" style="2"/>
  </cols>
  <sheetData>
    <row r="1" spans="1:9">
      <c r="A1" s="632" t="s">
        <v>301</v>
      </c>
      <c r="B1" s="632"/>
      <c r="C1" s="632"/>
      <c r="D1" s="632"/>
      <c r="E1" s="632"/>
      <c r="F1" s="632"/>
      <c r="G1" s="632"/>
      <c r="H1" s="632"/>
      <c r="I1" s="632"/>
    </row>
    <row r="2" spans="1:9">
      <c r="A2" s="84"/>
      <c r="B2" s="84"/>
      <c r="C2" s="84"/>
      <c r="D2" s="84"/>
      <c r="E2" s="84"/>
      <c r="F2" s="84"/>
      <c r="G2" s="84"/>
      <c r="H2" s="84"/>
      <c r="I2" s="84"/>
    </row>
    <row r="3" spans="1:9">
      <c r="A3" s="169" t="s">
        <v>418</v>
      </c>
      <c r="B3" s="170"/>
      <c r="C3" s="156"/>
      <c r="D3" s="156"/>
      <c r="E3" s="84"/>
      <c r="F3" s="84"/>
      <c r="G3" s="84"/>
      <c r="H3" s="84"/>
      <c r="I3" s="84"/>
    </row>
    <row r="4" spans="1:9">
      <c r="A4" s="152" t="s">
        <v>419</v>
      </c>
      <c r="B4" s="162"/>
      <c r="C4" s="152" t="s">
        <v>420</v>
      </c>
      <c r="D4" s="164"/>
      <c r="E4" s="84"/>
      <c r="F4" s="84"/>
      <c r="G4" s="84"/>
      <c r="H4" s="84"/>
      <c r="I4" s="84"/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633" t="s">
        <v>6</v>
      </c>
      <c r="B6" s="633"/>
      <c r="C6" s="633"/>
      <c r="D6" s="633"/>
      <c r="E6" s="633"/>
      <c r="F6" s="633"/>
      <c r="G6" s="633"/>
      <c r="H6" s="633"/>
      <c r="I6" s="633"/>
    </row>
    <row r="7" spans="1:9">
      <c r="A7" s="161"/>
      <c r="B7" s="161"/>
      <c r="C7" s="161"/>
      <c r="D7" s="161"/>
      <c r="E7" s="161"/>
      <c r="F7" s="161"/>
      <c r="G7" s="161"/>
      <c r="H7" s="161"/>
      <c r="I7" s="161"/>
    </row>
    <row r="8" spans="1:9">
      <c r="A8" s="634" t="s">
        <v>128</v>
      </c>
      <c r="B8" s="634"/>
      <c r="C8" s="634"/>
      <c r="D8" s="634"/>
      <c r="E8" s="634"/>
      <c r="F8" s="634"/>
      <c r="G8" s="634"/>
      <c r="H8" s="634"/>
      <c r="I8" s="634"/>
    </row>
    <row r="9" spans="1:9">
      <c r="A9" s="30" t="s">
        <v>11</v>
      </c>
      <c r="B9" s="645" t="s">
        <v>85</v>
      </c>
      <c r="C9" s="645"/>
      <c r="D9" s="645"/>
      <c r="E9" s="645"/>
      <c r="F9" s="645"/>
      <c r="G9" s="645"/>
      <c r="H9" s="645"/>
      <c r="I9" s="4"/>
    </row>
    <row r="10" spans="1:9">
      <c r="A10" s="30" t="s">
        <v>12</v>
      </c>
      <c r="B10" s="645" t="s">
        <v>318</v>
      </c>
      <c r="C10" s="645"/>
      <c r="D10" s="645"/>
      <c r="E10" s="645"/>
      <c r="F10" s="645"/>
      <c r="G10" s="645"/>
      <c r="H10" s="645"/>
      <c r="I10" s="30" t="s">
        <v>428</v>
      </c>
    </row>
    <row r="11" spans="1:9">
      <c r="A11" s="30" t="s">
        <v>13</v>
      </c>
      <c r="B11" s="645" t="s">
        <v>39</v>
      </c>
      <c r="C11" s="645"/>
      <c r="D11" s="645"/>
      <c r="E11" s="645"/>
      <c r="F11" s="645"/>
      <c r="G11" s="645"/>
      <c r="H11" s="645"/>
      <c r="I11" s="30" t="s">
        <v>598</v>
      </c>
    </row>
    <row r="12" spans="1:9">
      <c r="A12" s="30" t="s">
        <v>14</v>
      </c>
      <c r="B12" s="645" t="s">
        <v>34</v>
      </c>
      <c r="C12" s="645"/>
      <c r="D12" s="645"/>
      <c r="E12" s="645"/>
      <c r="F12" s="645"/>
      <c r="G12" s="645"/>
      <c r="H12" s="645"/>
      <c r="I12" s="30">
        <v>12</v>
      </c>
    </row>
    <row r="13" spans="1:9">
      <c r="A13" s="193"/>
      <c r="B13" s="194"/>
      <c r="C13" s="194"/>
      <c r="D13" s="194"/>
      <c r="E13" s="194"/>
      <c r="F13" s="194"/>
      <c r="G13" s="194"/>
      <c r="H13" s="194"/>
      <c r="I13" s="193"/>
    </row>
    <row r="14" spans="1:9">
      <c r="A14" s="779" t="s">
        <v>129</v>
      </c>
      <c r="B14" s="780"/>
      <c r="C14" s="780"/>
      <c r="D14" s="780"/>
      <c r="E14" s="780"/>
      <c r="F14" s="780"/>
      <c r="G14" s="780"/>
      <c r="H14" s="780"/>
      <c r="I14" s="781"/>
    </row>
    <row r="15" spans="1:9">
      <c r="A15" s="701" t="s">
        <v>35</v>
      </c>
      <c r="B15" s="701"/>
      <c r="C15" s="701" t="s">
        <v>300</v>
      </c>
      <c r="D15" s="701"/>
      <c r="E15" s="701" t="s">
        <v>130</v>
      </c>
      <c r="F15" s="701"/>
      <c r="G15" s="701"/>
      <c r="H15" s="701"/>
      <c r="I15" s="701"/>
    </row>
    <row r="16" spans="1:9">
      <c r="A16" s="701" t="s">
        <v>292</v>
      </c>
      <c r="B16" s="701"/>
      <c r="C16" s="701"/>
      <c r="D16" s="701"/>
      <c r="E16" s="701">
        <v>1</v>
      </c>
      <c r="F16" s="701"/>
      <c r="G16" s="701"/>
      <c r="H16" s="701"/>
      <c r="I16" s="701"/>
    </row>
    <row r="17" spans="1:22">
      <c r="A17" s="701"/>
      <c r="B17" s="701"/>
      <c r="C17" s="701"/>
      <c r="D17" s="701"/>
      <c r="E17" s="701"/>
      <c r="F17" s="701"/>
      <c r="G17" s="701"/>
      <c r="H17" s="701"/>
      <c r="I17" s="701"/>
    </row>
    <row r="18" spans="1:22">
      <c r="A18" s="701"/>
      <c r="B18" s="701"/>
      <c r="C18" s="701"/>
      <c r="D18" s="701"/>
      <c r="E18" s="701"/>
      <c r="F18" s="701"/>
      <c r="G18" s="701"/>
      <c r="H18" s="701"/>
      <c r="I18" s="701"/>
    </row>
    <row r="19" spans="1:22">
      <c r="A19" s="143"/>
      <c r="B19" s="143"/>
      <c r="C19" s="143"/>
      <c r="D19" s="143"/>
      <c r="E19" s="143"/>
      <c r="F19" s="143"/>
      <c r="G19" s="143"/>
      <c r="H19" s="143"/>
      <c r="I19" s="143"/>
    </row>
    <row r="20" spans="1:22">
      <c r="A20" s="668" t="s">
        <v>86</v>
      </c>
      <c r="B20" s="668"/>
      <c r="C20" s="150"/>
      <c r="D20" s="150"/>
      <c r="E20" s="150"/>
      <c r="F20" s="150"/>
      <c r="G20" s="150"/>
      <c r="H20" s="150"/>
      <c r="I20" s="150"/>
    </row>
    <row r="21" spans="1:22">
      <c r="A21" s="5" t="s">
        <v>98</v>
      </c>
      <c r="B21" s="3"/>
      <c r="C21" s="3"/>
      <c r="D21" s="3"/>
      <c r="E21" s="3"/>
      <c r="F21" s="3"/>
      <c r="G21" s="3"/>
      <c r="H21" s="143"/>
      <c r="I21" s="143"/>
    </row>
    <row r="22" spans="1:22">
      <c r="A22" s="650" t="s">
        <v>40</v>
      </c>
      <c r="B22" s="651"/>
      <c r="C22" s="651"/>
      <c r="D22" s="651"/>
      <c r="E22" s="651"/>
      <c r="F22" s="651"/>
      <c r="G22" s="651"/>
      <c r="H22" s="651"/>
      <c r="I22" s="652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</row>
    <row r="23" spans="1:22">
      <c r="A23" s="30">
        <v>1</v>
      </c>
      <c r="B23" s="645" t="s">
        <v>10</v>
      </c>
      <c r="C23" s="645"/>
      <c r="D23" s="645"/>
      <c r="E23" s="645"/>
      <c r="F23" s="645"/>
      <c r="G23" s="645"/>
      <c r="H23" s="645"/>
      <c r="I23" s="30" t="s">
        <v>36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</row>
    <row r="24" spans="1:22">
      <c r="A24" s="30">
        <v>2</v>
      </c>
      <c r="B24" s="645" t="s">
        <v>41</v>
      </c>
      <c r="C24" s="645"/>
      <c r="D24" s="645"/>
      <c r="E24" s="645"/>
      <c r="F24" s="645"/>
      <c r="G24" s="645"/>
      <c r="H24" s="645"/>
      <c r="I24" s="30" t="s">
        <v>294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</row>
    <row r="25" spans="1:22">
      <c r="A25" s="30">
        <v>3</v>
      </c>
      <c r="B25" s="645" t="s">
        <v>9</v>
      </c>
      <c r="C25" s="645"/>
      <c r="D25" s="645"/>
      <c r="E25" s="645"/>
      <c r="F25" s="645"/>
      <c r="G25" s="645"/>
      <c r="H25" s="645"/>
      <c r="I25" s="176">
        <v>1764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</row>
    <row r="26" spans="1:22">
      <c r="A26" s="30">
        <v>4</v>
      </c>
      <c r="B26" s="645" t="s">
        <v>8</v>
      </c>
      <c r="C26" s="645"/>
      <c r="D26" s="645"/>
      <c r="E26" s="645"/>
      <c r="F26" s="645"/>
      <c r="G26" s="645"/>
      <c r="H26" s="645"/>
      <c r="I26" s="30" t="s">
        <v>37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</row>
    <row r="27" spans="1:22">
      <c r="A27" s="30">
        <v>5</v>
      </c>
      <c r="B27" s="645" t="s">
        <v>7</v>
      </c>
      <c r="C27" s="645"/>
      <c r="D27" s="645"/>
      <c r="E27" s="645"/>
      <c r="F27" s="645"/>
      <c r="G27" s="645"/>
      <c r="H27" s="645"/>
      <c r="I27" s="4">
        <v>46053</v>
      </c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</row>
    <row r="28" spans="1:22" s="213" customFormat="1">
      <c r="A28" s="210"/>
      <c r="B28" s="211"/>
      <c r="C28" s="211"/>
      <c r="D28" s="211"/>
      <c r="E28" s="211"/>
      <c r="F28" s="211"/>
      <c r="G28" s="211"/>
      <c r="H28" s="211"/>
      <c r="I28" s="212"/>
    </row>
    <row r="29" spans="1:22">
      <c r="A29" s="700" t="s">
        <v>30</v>
      </c>
      <c r="B29" s="700"/>
      <c r="C29" s="700"/>
      <c r="D29" s="700"/>
      <c r="E29" s="700"/>
      <c r="F29" s="700"/>
      <c r="G29" s="700"/>
      <c r="H29" s="700"/>
      <c r="I29" s="70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</row>
    <row r="30" spans="1:22">
      <c r="A30" s="146">
        <v>1</v>
      </c>
      <c r="B30" s="647" t="s">
        <v>19</v>
      </c>
      <c r="C30" s="647"/>
      <c r="D30" s="647"/>
      <c r="E30" s="647"/>
      <c r="F30" s="647"/>
      <c r="G30" s="647"/>
      <c r="H30" s="146" t="s">
        <v>3</v>
      </c>
      <c r="I30" s="146" t="s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</row>
    <row r="31" spans="1:22">
      <c r="A31" s="9" t="s">
        <v>11</v>
      </c>
      <c r="B31" s="645" t="s">
        <v>33</v>
      </c>
      <c r="C31" s="645"/>
      <c r="D31" s="645"/>
      <c r="E31" s="645"/>
      <c r="F31" s="645"/>
      <c r="G31" s="645"/>
      <c r="H31" s="147"/>
      <c r="I31" s="29">
        <f>(I25/220)*60</f>
        <v>481.09090909090907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</row>
    <row r="32" spans="1:22">
      <c r="A32" s="9" t="s">
        <v>12</v>
      </c>
      <c r="B32" s="648" t="s">
        <v>313</v>
      </c>
      <c r="C32" s="648"/>
      <c r="D32" s="648"/>
      <c r="E32" s="648"/>
      <c r="F32" s="648"/>
      <c r="G32" s="648"/>
      <c r="H32" s="8">
        <v>0</v>
      </c>
      <c r="I32" s="29">
        <v>0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</row>
    <row r="33" spans="1:22">
      <c r="A33" s="9" t="s">
        <v>13</v>
      </c>
      <c r="B33" s="645" t="s">
        <v>42</v>
      </c>
      <c r="C33" s="645"/>
      <c r="D33" s="645"/>
      <c r="E33" s="645"/>
      <c r="F33" s="645"/>
      <c r="G33" s="645"/>
      <c r="H33" s="8">
        <v>0</v>
      </c>
      <c r="I33" s="29">
        <v>0</v>
      </c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</row>
    <row r="34" spans="1:22">
      <c r="A34" s="9" t="s">
        <v>14</v>
      </c>
      <c r="B34" s="645" t="s">
        <v>2</v>
      </c>
      <c r="C34" s="645"/>
      <c r="D34" s="645"/>
      <c r="E34" s="645"/>
      <c r="F34" s="645"/>
      <c r="G34" s="645"/>
      <c r="H34" s="8">
        <v>0</v>
      </c>
      <c r="I34" s="29">
        <v>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</row>
    <row r="35" spans="1:22">
      <c r="A35" s="9" t="s">
        <v>15</v>
      </c>
      <c r="B35" s="645" t="s">
        <v>43</v>
      </c>
      <c r="C35" s="645"/>
      <c r="D35" s="645"/>
      <c r="E35" s="645"/>
      <c r="F35" s="645"/>
      <c r="G35" s="645"/>
      <c r="H35" s="8">
        <v>0</v>
      </c>
      <c r="I35" s="29">
        <v>0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</row>
    <row r="36" spans="1:22">
      <c r="A36" s="9" t="s">
        <v>16</v>
      </c>
      <c r="B36" s="645" t="s">
        <v>44</v>
      </c>
      <c r="C36" s="645"/>
      <c r="D36" s="645"/>
      <c r="E36" s="645"/>
      <c r="F36" s="645"/>
      <c r="G36" s="645"/>
      <c r="H36" s="8">
        <v>0</v>
      </c>
      <c r="I36" s="29">
        <v>0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</row>
    <row r="37" spans="1:22">
      <c r="A37" s="9" t="s">
        <v>17</v>
      </c>
      <c r="B37" s="645" t="s">
        <v>4</v>
      </c>
      <c r="C37" s="645"/>
      <c r="D37" s="645"/>
      <c r="E37" s="645"/>
      <c r="F37" s="645"/>
      <c r="G37" s="645"/>
      <c r="H37" s="8">
        <v>0</v>
      </c>
      <c r="I37" s="29">
        <v>0</v>
      </c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</row>
    <row r="38" spans="1:22">
      <c r="A38" s="657" t="s">
        <v>101</v>
      </c>
      <c r="B38" s="657"/>
      <c r="C38" s="657"/>
      <c r="D38" s="657"/>
      <c r="E38" s="657"/>
      <c r="F38" s="657"/>
      <c r="G38" s="657"/>
      <c r="H38" s="657"/>
      <c r="I38" s="10">
        <f>TRUNC(SUM(I31:I37),4)</f>
        <v>481.09089999999998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</row>
    <row r="39" spans="1:22">
      <c r="A39" s="95"/>
      <c r="B39" s="95"/>
      <c r="C39" s="95"/>
      <c r="D39" s="95"/>
      <c r="E39" s="95"/>
      <c r="F39" s="95"/>
      <c r="G39" s="95"/>
      <c r="H39" s="95"/>
      <c r="I39" s="11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</row>
    <row r="40" spans="1:22">
      <c r="A40" s="646" t="s">
        <v>45</v>
      </c>
      <c r="B40" s="646"/>
      <c r="C40" s="646"/>
      <c r="D40" s="646"/>
      <c r="E40" s="646"/>
      <c r="F40" s="646"/>
      <c r="G40" s="646"/>
      <c r="H40" s="646"/>
      <c r="I40" s="646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</row>
    <row r="41" spans="1:22">
      <c r="A41" s="653" t="s">
        <v>126</v>
      </c>
      <c r="B41" s="653"/>
      <c r="C41" s="653"/>
      <c r="D41" s="653"/>
      <c r="E41" s="653"/>
      <c r="F41" s="653"/>
      <c r="G41" s="653"/>
      <c r="H41" s="151"/>
      <c r="I41" s="151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</row>
    <row r="42" spans="1:22">
      <c r="A42" s="148" t="s">
        <v>60</v>
      </c>
      <c r="B42" s="654" t="s">
        <v>125</v>
      </c>
      <c r="C42" s="655"/>
      <c r="D42" s="655"/>
      <c r="E42" s="655"/>
      <c r="F42" s="655"/>
      <c r="G42" s="656"/>
      <c r="H42" s="146" t="s">
        <v>3</v>
      </c>
      <c r="I42" s="146" t="s">
        <v>1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</row>
    <row r="43" spans="1:22">
      <c r="A43" s="9" t="s">
        <v>11</v>
      </c>
      <c r="B43" s="645" t="s">
        <v>154</v>
      </c>
      <c r="C43" s="645"/>
      <c r="D43" s="645"/>
      <c r="E43" s="645"/>
      <c r="F43" s="645"/>
      <c r="G43" s="645"/>
      <c r="H43" s="12">
        <v>8.3299999999999999E-2</v>
      </c>
      <c r="I43" s="29">
        <f>$I$38*H43</f>
        <v>40.074871969999997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</row>
    <row r="44" spans="1:22">
      <c r="A44" s="9" t="s">
        <v>12</v>
      </c>
      <c r="B44" s="645" t="s">
        <v>138</v>
      </c>
      <c r="C44" s="645"/>
      <c r="D44" s="645"/>
      <c r="E44" s="645"/>
      <c r="F44" s="645"/>
      <c r="G44" s="645"/>
      <c r="H44" s="13">
        <v>2.7799999999999998E-2</v>
      </c>
      <c r="I44" s="29">
        <f>H44*I38</f>
        <v>13.374327019999999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</row>
    <row r="45" spans="1:22">
      <c r="A45" s="657" t="s">
        <v>101</v>
      </c>
      <c r="B45" s="657"/>
      <c r="C45" s="657"/>
      <c r="D45" s="657"/>
      <c r="E45" s="657"/>
      <c r="F45" s="657"/>
      <c r="G45" s="657"/>
      <c r="H45" s="14">
        <f>TRUNC(SUM(H43:H44),4)</f>
        <v>0.1111</v>
      </c>
      <c r="I45" s="10">
        <f>TRUNC(SUM(I43:I44),4)</f>
        <v>53.449100000000001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</row>
    <row r="46" spans="1:22">
      <c r="A46" s="95"/>
      <c r="B46" s="95"/>
      <c r="C46" s="95"/>
      <c r="D46" s="95"/>
      <c r="E46" s="95"/>
      <c r="F46" s="95"/>
      <c r="G46" s="95"/>
      <c r="H46" s="15"/>
      <c r="I46" s="1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</row>
    <row r="47" spans="1:22">
      <c r="A47" s="658" t="s">
        <v>100</v>
      </c>
      <c r="B47" s="659"/>
      <c r="C47" s="659"/>
      <c r="D47" s="659"/>
      <c r="E47" s="659"/>
      <c r="F47" s="659"/>
      <c r="G47" s="659"/>
      <c r="H47" s="659"/>
      <c r="I47" s="659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</row>
    <row r="48" spans="1:22">
      <c r="A48" s="146" t="s">
        <v>99</v>
      </c>
      <c r="B48" s="654" t="s">
        <v>47</v>
      </c>
      <c r="C48" s="655"/>
      <c r="D48" s="655"/>
      <c r="E48" s="655"/>
      <c r="F48" s="655"/>
      <c r="G48" s="656"/>
      <c r="H48" s="146" t="s">
        <v>3</v>
      </c>
      <c r="I48" s="146" t="s">
        <v>1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</row>
    <row r="49" spans="1:22">
      <c r="A49" s="9" t="s">
        <v>11</v>
      </c>
      <c r="B49" s="645" t="s">
        <v>49</v>
      </c>
      <c r="C49" s="645"/>
      <c r="D49" s="645"/>
      <c r="E49" s="645"/>
      <c r="F49" s="645"/>
      <c r="G49" s="645"/>
      <c r="H49" s="13">
        <v>0.2</v>
      </c>
      <c r="I49" s="29">
        <f>(I38+I45)*H49</f>
        <v>106.908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</row>
    <row r="50" spans="1:22">
      <c r="A50" s="9" t="s">
        <v>12</v>
      </c>
      <c r="B50" s="645" t="s">
        <v>50</v>
      </c>
      <c r="C50" s="645"/>
      <c r="D50" s="645"/>
      <c r="E50" s="645"/>
      <c r="F50" s="645"/>
      <c r="G50" s="645"/>
      <c r="H50" s="13">
        <v>2.5000000000000001E-2</v>
      </c>
      <c r="I50" s="29">
        <f>(I38+I45)*H50</f>
        <v>13.3635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</row>
    <row r="51" spans="1:22">
      <c r="A51" s="9" t="s">
        <v>13</v>
      </c>
      <c r="B51" s="645" t="s">
        <v>496</v>
      </c>
      <c r="C51" s="645"/>
      <c r="D51" s="645"/>
      <c r="E51" s="645"/>
      <c r="F51" s="645"/>
      <c r="G51" s="645"/>
      <c r="H51" s="12">
        <v>0.03</v>
      </c>
      <c r="I51" s="29">
        <f>(I38+I45)*H51</f>
        <v>16.036199999999997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</row>
    <row r="52" spans="1:22">
      <c r="A52" s="9" t="s">
        <v>14</v>
      </c>
      <c r="B52" s="645" t="s">
        <v>48</v>
      </c>
      <c r="C52" s="645"/>
      <c r="D52" s="645"/>
      <c r="E52" s="645"/>
      <c r="F52" s="645"/>
      <c r="G52" s="645"/>
      <c r="H52" s="13">
        <v>1.4999999999999999E-2</v>
      </c>
      <c r="I52" s="29">
        <f>(I38+I45)*H52</f>
        <v>8.0180999999999987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</row>
    <row r="53" spans="1:22">
      <c r="A53" s="9" t="s">
        <v>15</v>
      </c>
      <c r="B53" s="645" t="s">
        <v>51</v>
      </c>
      <c r="C53" s="645"/>
      <c r="D53" s="645"/>
      <c r="E53" s="645"/>
      <c r="F53" s="645"/>
      <c r="G53" s="645"/>
      <c r="H53" s="13">
        <v>0.01</v>
      </c>
      <c r="I53" s="29">
        <f>(I38+I45)*H53</f>
        <v>5.3453999999999997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</row>
    <row r="54" spans="1:22">
      <c r="A54" s="9" t="s">
        <v>16</v>
      </c>
      <c r="B54" s="645" t="s">
        <v>52</v>
      </c>
      <c r="C54" s="645"/>
      <c r="D54" s="645"/>
      <c r="E54" s="645"/>
      <c r="F54" s="645"/>
      <c r="G54" s="645"/>
      <c r="H54" s="13">
        <v>6.0000000000000001E-3</v>
      </c>
      <c r="I54" s="29">
        <f>(I38+I45)*H54</f>
        <v>3.2072399999999996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</row>
    <row r="55" spans="1:22">
      <c r="A55" s="9" t="s">
        <v>17</v>
      </c>
      <c r="B55" s="645" t="s">
        <v>53</v>
      </c>
      <c r="C55" s="645"/>
      <c r="D55" s="645"/>
      <c r="E55" s="645"/>
      <c r="F55" s="645"/>
      <c r="G55" s="645"/>
      <c r="H55" s="13">
        <v>2E-3</v>
      </c>
      <c r="I55" s="29">
        <f>(I38+I45)*H55</f>
        <v>1.06908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</row>
    <row r="56" spans="1:22">
      <c r="A56" s="9" t="s">
        <v>18</v>
      </c>
      <c r="B56" s="645" t="s">
        <v>54</v>
      </c>
      <c r="C56" s="645"/>
      <c r="D56" s="645"/>
      <c r="E56" s="645"/>
      <c r="F56" s="645"/>
      <c r="G56" s="645"/>
      <c r="H56" s="13">
        <v>0.08</v>
      </c>
      <c r="I56" s="29">
        <f>(I38+I45)*H56</f>
        <v>42.763199999999998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</row>
    <row r="57" spans="1:22">
      <c r="A57" s="657" t="s">
        <v>101</v>
      </c>
      <c r="B57" s="657"/>
      <c r="C57" s="657"/>
      <c r="D57" s="657"/>
      <c r="E57" s="657"/>
      <c r="F57" s="657"/>
      <c r="G57" s="657"/>
      <c r="H57" s="14">
        <f>SUM(H49:H56)</f>
        <v>0.36800000000000005</v>
      </c>
      <c r="I57" s="10">
        <f>TRUNC(SUM(I49:I56),4)</f>
        <v>196.7107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</row>
    <row r="58" spans="1:22">
      <c r="A58" s="16"/>
      <c r="B58" s="16"/>
      <c r="C58" s="16"/>
      <c r="D58" s="16"/>
      <c r="E58" s="16"/>
      <c r="F58" s="16"/>
      <c r="G58" s="16"/>
      <c r="H58" s="17"/>
      <c r="I58" s="18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</row>
    <row r="59" spans="1:22">
      <c r="A59" s="67" t="s">
        <v>55</v>
      </c>
      <c r="B59" s="95"/>
      <c r="C59" s="95"/>
      <c r="D59" s="95"/>
      <c r="E59" s="95"/>
      <c r="F59" s="95"/>
      <c r="G59" s="95"/>
      <c r="H59" s="15"/>
      <c r="I59" s="1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</row>
    <row r="60" spans="1:22">
      <c r="A60" s="148" t="s">
        <v>62</v>
      </c>
      <c r="B60" s="654" t="s">
        <v>63</v>
      </c>
      <c r="C60" s="655"/>
      <c r="D60" s="655"/>
      <c r="E60" s="655"/>
      <c r="F60" s="655"/>
      <c r="G60" s="656"/>
      <c r="H60" s="19" t="s">
        <v>137</v>
      </c>
      <c r="I60" s="146" t="s">
        <v>1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</row>
    <row r="61" spans="1:22">
      <c r="A61" s="9" t="s">
        <v>11</v>
      </c>
      <c r="B61" s="660" t="s">
        <v>56</v>
      </c>
      <c r="C61" s="660"/>
      <c r="D61" s="660"/>
      <c r="E61" s="660"/>
      <c r="F61" s="660"/>
      <c r="G61" s="660"/>
      <c r="H61" s="176">
        <f>A160</f>
        <v>0</v>
      </c>
      <c r="I61" s="70">
        <f>C166</f>
        <v>0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</row>
    <row r="62" spans="1:22">
      <c r="A62" s="9" t="s">
        <v>12</v>
      </c>
      <c r="B62" s="660" t="s">
        <v>57</v>
      </c>
      <c r="C62" s="660"/>
      <c r="D62" s="660"/>
      <c r="E62" s="660"/>
      <c r="F62" s="660"/>
      <c r="G62" s="660"/>
      <c r="H62" s="176">
        <f>F160</f>
        <v>26.833300000000001</v>
      </c>
      <c r="I62" s="70">
        <f>H166</f>
        <v>279.06632000000002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</row>
    <row r="63" spans="1:22">
      <c r="A63" s="9" t="s">
        <v>13</v>
      </c>
      <c r="B63" s="660" t="s">
        <v>58</v>
      </c>
      <c r="C63" s="660"/>
      <c r="D63" s="660"/>
      <c r="E63" s="660"/>
      <c r="F63" s="660"/>
      <c r="G63" s="660"/>
      <c r="H63" s="176">
        <v>87.5</v>
      </c>
      <c r="I63" s="70">
        <f>H63</f>
        <v>87.5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</row>
    <row r="64" spans="1:22">
      <c r="A64" s="9" t="s">
        <v>14</v>
      </c>
      <c r="B64" s="660" t="s">
        <v>143</v>
      </c>
      <c r="C64" s="660"/>
      <c r="D64" s="660"/>
      <c r="E64" s="660"/>
      <c r="F64" s="660"/>
      <c r="G64" s="660"/>
      <c r="H64" s="176">
        <v>0</v>
      </c>
      <c r="I64" s="70">
        <v>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</row>
    <row r="65" spans="1:22">
      <c r="A65" s="9" t="s">
        <v>15</v>
      </c>
      <c r="B65" s="660" t="s">
        <v>144</v>
      </c>
      <c r="C65" s="660"/>
      <c r="D65" s="660"/>
      <c r="E65" s="660"/>
      <c r="F65" s="660"/>
      <c r="G65" s="660"/>
      <c r="H65" s="176">
        <v>0</v>
      </c>
      <c r="I65" s="70">
        <v>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</row>
    <row r="66" spans="1:22">
      <c r="A66" s="9" t="s">
        <v>16</v>
      </c>
      <c r="B66" s="660" t="s">
        <v>145</v>
      </c>
      <c r="C66" s="660"/>
      <c r="D66" s="660"/>
      <c r="E66" s="660"/>
      <c r="F66" s="660"/>
      <c r="G66" s="660"/>
      <c r="H66" s="176">
        <v>28</v>
      </c>
      <c r="I66" s="70">
        <f>H66</f>
        <v>28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</row>
    <row r="67" spans="1:22">
      <c r="A67" s="9" t="s">
        <v>17</v>
      </c>
      <c r="B67" s="660" t="s">
        <v>146</v>
      </c>
      <c r="C67" s="660"/>
      <c r="D67" s="660"/>
      <c r="E67" s="660"/>
      <c r="F67" s="660"/>
      <c r="G67" s="660"/>
      <c r="H67" s="176">
        <v>28</v>
      </c>
      <c r="I67" s="70">
        <f>H67</f>
        <v>28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</row>
    <row r="68" spans="1:22">
      <c r="A68" s="9" t="s">
        <v>18</v>
      </c>
      <c r="B68" s="661" t="s">
        <v>312</v>
      </c>
      <c r="C68" s="661"/>
      <c r="D68" s="661"/>
      <c r="E68" s="661"/>
      <c r="F68" s="661"/>
      <c r="G68" s="661"/>
      <c r="H68" s="71">
        <v>0</v>
      </c>
      <c r="I68" s="70">
        <v>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</row>
    <row r="69" spans="1:22">
      <c r="A69" s="9" t="s">
        <v>89</v>
      </c>
      <c r="B69" s="660" t="s">
        <v>149</v>
      </c>
      <c r="C69" s="660"/>
      <c r="D69" s="660"/>
      <c r="E69" s="660"/>
      <c r="F69" s="660"/>
      <c r="G69" s="660"/>
      <c r="H69" s="71">
        <v>0</v>
      </c>
      <c r="I69" s="70">
        <v>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</row>
    <row r="70" spans="1:22">
      <c r="A70" s="9" t="s">
        <v>148</v>
      </c>
      <c r="B70" s="660" t="s">
        <v>309</v>
      </c>
      <c r="C70" s="660"/>
      <c r="D70" s="660"/>
      <c r="E70" s="660"/>
      <c r="F70" s="660"/>
      <c r="G70" s="660"/>
      <c r="H70" s="71">
        <v>0</v>
      </c>
      <c r="I70" s="70">
        <v>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</row>
    <row r="71" spans="1:22">
      <c r="A71" s="9" t="s">
        <v>302</v>
      </c>
      <c r="B71" s="661" t="s">
        <v>310</v>
      </c>
      <c r="C71" s="661"/>
      <c r="D71" s="661"/>
      <c r="E71" s="661"/>
      <c r="F71" s="661"/>
      <c r="G71" s="661"/>
      <c r="H71" s="71">
        <v>0</v>
      </c>
      <c r="I71" s="92">
        <f>H71</f>
        <v>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</row>
    <row r="72" spans="1:22">
      <c r="A72" s="9" t="s">
        <v>303</v>
      </c>
      <c r="B72" s="660" t="s">
        <v>304</v>
      </c>
      <c r="C72" s="660"/>
      <c r="D72" s="660"/>
      <c r="E72" s="660"/>
      <c r="F72" s="660"/>
      <c r="G72" s="660"/>
      <c r="H72" s="71">
        <v>0</v>
      </c>
      <c r="I72" s="70">
        <v>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</row>
    <row r="73" spans="1:22">
      <c r="A73" s="657" t="s">
        <v>24</v>
      </c>
      <c r="B73" s="657"/>
      <c r="C73" s="657"/>
      <c r="D73" s="657"/>
      <c r="E73" s="657"/>
      <c r="F73" s="657"/>
      <c r="G73" s="657"/>
      <c r="H73" s="657"/>
      <c r="I73" s="10">
        <f>TRUNC(SUM(I61:I72),4)</f>
        <v>422.56630000000001</v>
      </c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</row>
    <row r="74" spans="1:22">
      <c r="A74" s="95"/>
      <c r="B74" s="95"/>
      <c r="C74" s="95"/>
      <c r="D74" s="95"/>
      <c r="E74" s="95"/>
      <c r="F74" s="95"/>
      <c r="G74" s="95"/>
      <c r="H74" s="95"/>
      <c r="I74" s="11"/>
    </row>
    <row r="75" spans="1:22">
      <c r="A75" s="667" t="s">
        <v>59</v>
      </c>
      <c r="B75" s="667"/>
      <c r="C75" s="667"/>
      <c r="D75" s="667"/>
      <c r="E75" s="667"/>
      <c r="F75" s="667"/>
      <c r="G75" s="667"/>
      <c r="H75" s="667"/>
      <c r="I75" s="667"/>
    </row>
    <row r="76" spans="1:22">
      <c r="A76" s="148">
        <v>2</v>
      </c>
      <c r="B76" s="654" t="s">
        <v>127</v>
      </c>
      <c r="C76" s="655"/>
      <c r="D76" s="655"/>
      <c r="E76" s="655"/>
      <c r="F76" s="655"/>
      <c r="G76" s="655"/>
      <c r="H76" s="656"/>
      <c r="I76" s="146" t="s">
        <v>1</v>
      </c>
    </row>
    <row r="77" spans="1:22">
      <c r="A77" s="9" t="s">
        <v>60</v>
      </c>
      <c r="B77" s="1" t="s">
        <v>46</v>
      </c>
      <c r="C77" s="20"/>
      <c r="D77" s="20"/>
      <c r="E77" s="20"/>
      <c r="F77" s="20"/>
      <c r="G77" s="20"/>
      <c r="H77" s="21"/>
      <c r="I77" s="29">
        <f>I45</f>
        <v>53.449100000000001</v>
      </c>
    </row>
    <row r="78" spans="1:22">
      <c r="A78" s="9" t="s">
        <v>61</v>
      </c>
      <c r="B78" s="1" t="s">
        <v>47</v>
      </c>
      <c r="C78" s="20"/>
      <c r="D78" s="20"/>
      <c r="E78" s="20"/>
      <c r="F78" s="20"/>
      <c r="G78" s="20"/>
      <c r="H78" s="21"/>
      <c r="I78" s="29">
        <f>I57</f>
        <v>196.7107</v>
      </c>
    </row>
    <row r="79" spans="1:22">
      <c r="A79" s="9" t="s">
        <v>62</v>
      </c>
      <c r="B79" s="1" t="s">
        <v>63</v>
      </c>
      <c r="C79" s="20"/>
      <c r="D79" s="20"/>
      <c r="E79" s="20"/>
      <c r="F79" s="20"/>
      <c r="G79" s="20"/>
      <c r="H79" s="21"/>
      <c r="I79" s="29">
        <f>I73</f>
        <v>422.56630000000001</v>
      </c>
    </row>
    <row r="80" spans="1:22">
      <c r="A80" s="657" t="s">
        <v>101</v>
      </c>
      <c r="B80" s="657"/>
      <c r="C80" s="657"/>
      <c r="D80" s="657"/>
      <c r="E80" s="657"/>
      <c r="F80" s="657"/>
      <c r="G80" s="657"/>
      <c r="H80" s="657"/>
      <c r="I80" s="10">
        <f>TRUNC(SUM(I77:I79),4)</f>
        <v>672.72609999999997</v>
      </c>
    </row>
    <row r="81" spans="1:9">
      <c r="A81" s="668"/>
      <c r="B81" s="669"/>
      <c r="C81" s="669"/>
      <c r="D81" s="669"/>
      <c r="E81" s="669"/>
      <c r="F81" s="669"/>
      <c r="G81" s="669"/>
      <c r="H81" s="669"/>
      <c r="I81" s="669"/>
    </row>
    <row r="82" spans="1:9">
      <c r="A82" s="670" t="s">
        <v>64</v>
      </c>
      <c r="B82" s="670"/>
      <c r="C82" s="670"/>
      <c r="D82" s="670"/>
      <c r="E82" s="670"/>
      <c r="F82" s="670"/>
      <c r="G82" s="670"/>
      <c r="H82" s="670"/>
      <c r="I82" s="670"/>
    </row>
    <row r="83" spans="1:9">
      <c r="A83" s="146">
        <v>3</v>
      </c>
      <c r="B83" s="647" t="s">
        <v>65</v>
      </c>
      <c r="C83" s="647"/>
      <c r="D83" s="647"/>
      <c r="E83" s="647"/>
      <c r="F83" s="647"/>
      <c r="G83" s="647"/>
      <c r="H83" s="146" t="s">
        <v>3</v>
      </c>
      <c r="I83" s="146" t="s">
        <v>1</v>
      </c>
    </row>
    <row r="84" spans="1:9">
      <c r="A84" s="9" t="s">
        <v>11</v>
      </c>
      <c r="B84" s="645" t="s">
        <v>68</v>
      </c>
      <c r="C84" s="645"/>
      <c r="D84" s="645"/>
      <c r="E84" s="645"/>
      <c r="F84" s="645"/>
      <c r="G84" s="645"/>
      <c r="H84" s="12">
        <f>((1/12)*0.05)</f>
        <v>4.1666666666666666E-3</v>
      </c>
      <c r="I84" s="29">
        <f>I38*H84</f>
        <v>2.0045454166666667</v>
      </c>
    </row>
    <row r="85" spans="1:9">
      <c r="A85" s="9" t="s">
        <v>12</v>
      </c>
      <c r="B85" s="645" t="s">
        <v>67</v>
      </c>
      <c r="C85" s="645"/>
      <c r="D85" s="645"/>
      <c r="E85" s="645"/>
      <c r="F85" s="645"/>
      <c r="G85" s="645"/>
      <c r="H85" s="12">
        <f>H84*8%</f>
        <v>3.3333333333333332E-4</v>
      </c>
      <c r="I85" s="29">
        <f>H85*I38</f>
        <v>0.16036363333333331</v>
      </c>
    </row>
    <row r="86" spans="1:9">
      <c r="A86" s="9" t="s">
        <v>13</v>
      </c>
      <c r="B86" s="645" t="s">
        <v>69</v>
      </c>
      <c r="C86" s="645"/>
      <c r="D86" s="645"/>
      <c r="E86" s="645"/>
      <c r="F86" s="645"/>
      <c r="G86" s="645"/>
      <c r="H86" s="12">
        <f>((1+2/12+(1/3*1/12))*0.08*0.4*0.9)</f>
        <v>3.4400000000000007E-2</v>
      </c>
      <c r="I86" s="29">
        <f>I38*H86</f>
        <v>16.549526960000001</v>
      </c>
    </row>
    <row r="87" spans="1:9">
      <c r="A87" s="9" t="s">
        <v>14</v>
      </c>
      <c r="B87" s="645" t="s">
        <v>66</v>
      </c>
      <c r="C87" s="645"/>
      <c r="D87" s="645"/>
      <c r="E87" s="645"/>
      <c r="F87" s="645"/>
      <c r="G87" s="645"/>
      <c r="H87" s="12">
        <f>(7/30)/12</f>
        <v>1.9444444444444445E-2</v>
      </c>
      <c r="I87" s="29">
        <f>I38*H87</f>
        <v>9.3545452777777776</v>
      </c>
    </row>
    <row r="88" spans="1:9">
      <c r="A88" s="9" t="s">
        <v>15</v>
      </c>
      <c r="B88" s="645" t="s">
        <v>70</v>
      </c>
      <c r="C88" s="645"/>
      <c r="D88" s="645"/>
      <c r="E88" s="645"/>
      <c r="F88" s="645"/>
      <c r="G88" s="645"/>
      <c r="H88" s="12">
        <f>(H57*H87)</f>
        <v>7.1555555555555565E-3</v>
      </c>
      <c r="I88" s="29">
        <f>I38*H88</f>
        <v>3.4424726622222224</v>
      </c>
    </row>
    <row r="89" spans="1:9">
      <c r="A89" s="9" t="s">
        <v>16</v>
      </c>
      <c r="B89" s="645" t="s">
        <v>71</v>
      </c>
      <c r="C89" s="645"/>
      <c r="D89" s="645"/>
      <c r="E89" s="645"/>
      <c r="F89" s="645"/>
      <c r="G89" s="645"/>
      <c r="H89" s="205">
        <f>H87*0.08*0.4</f>
        <v>6.2222222222222236E-4</v>
      </c>
      <c r="I89" s="29">
        <f>I38*H89</f>
        <v>0.29934544888888892</v>
      </c>
    </row>
    <row r="90" spans="1:9">
      <c r="A90" s="657" t="s">
        <v>101</v>
      </c>
      <c r="B90" s="657"/>
      <c r="C90" s="657"/>
      <c r="D90" s="657"/>
      <c r="E90" s="657"/>
      <c r="F90" s="657"/>
      <c r="G90" s="657"/>
      <c r="H90" s="14">
        <f>TRUNC(SUM(H84:H89),4)</f>
        <v>6.6100000000000006E-2</v>
      </c>
      <c r="I90" s="10">
        <f>TRUNC(SUM(I84:I89),4)</f>
        <v>31.810700000000001</v>
      </c>
    </row>
    <row r="91" spans="1:9">
      <c r="A91" s="668"/>
      <c r="B91" s="669"/>
      <c r="C91" s="669"/>
      <c r="D91" s="669"/>
      <c r="E91" s="669"/>
      <c r="F91" s="669"/>
      <c r="G91" s="669"/>
      <c r="H91" s="669"/>
      <c r="I91" s="669"/>
    </row>
    <row r="92" spans="1:9">
      <c r="A92" s="646" t="s">
        <v>72</v>
      </c>
      <c r="B92" s="646"/>
      <c r="C92" s="646"/>
      <c r="D92" s="646"/>
      <c r="E92" s="646"/>
      <c r="F92" s="646"/>
      <c r="G92" s="646"/>
      <c r="H92" s="646"/>
      <c r="I92" s="646"/>
    </row>
    <row r="93" spans="1:9">
      <c r="A93" s="670" t="s">
        <v>73</v>
      </c>
      <c r="B93" s="670"/>
      <c r="C93" s="670"/>
      <c r="D93" s="670"/>
      <c r="E93" s="670"/>
      <c r="F93" s="670"/>
      <c r="G93" s="670"/>
      <c r="H93" s="670"/>
      <c r="I93" s="670"/>
    </row>
    <row r="94" spans="1:9">
      <c r="A94" s="148" t="s">
        <v>26</v>
      </c>
      <c r="B94" s="654" t="s">
        <v>102</v>
      </c>
      <c r="C94" s="655"/>
      <c r="D94" s="655"/>
      <c r="E94" s="655"/>
      <c r="F94" s="655"/>
      <c r="G94" s="656"/>
      <c r="H94" s="146" t="s">
        <v>3</v>
      </c>
      <c r="I94" s="146" t="s">
        <v>1</v>
      </c>
    </row>
    <row r="95" spans="1:9">
      <c r="A95" s="9" t="s">
        <v>11</v>
      </c>
      <c r="B95" s="645" t="s">
        <v>139</v>
      </c>
      <c r="C95" s="645"/>
      <c r="D95" s="645"/>
      <c r="E95" s="645"/>
      <c r="F95" s="645"/>
      <c r="G95" s="645"/>
      <c r="H95" s="12">
        <f>(1/12)</f>
        <v>8.3333333333333329E-2</v>
      </c>
      <c r="I95" s="29">
        <f>(I38+I80+I90)*H95</f>
        <v>98.802308333333329</v>
      </c>
    </row>
    <row r="96" spans="1:9">
      <c r="A96" s="9" t="s">
        <v>12</v>
      </c>
      <c r="B96" s="645" t="s">
        <v>74</v>
      </c>
      <c r="C96" s="645"/>
      <c r="D96" s="645"/>
      <c r="E96" s="645"/>
      <c r="F96" s="645"/>
      <c r="G96" s="645"/>
      <c r="H96" s="12">
        <f>(6/30/12)</f>
        <v>1.6666666666666666E-2</v>
      </c>
      <c r="I96" s="29">
        <f>(I38+I80+I90)*H96</f>
        <v>19.760461666666668</v>
      </c>
    </row>
    <row r="97" spans="1:9">
      <c r="A97" s="9" t="s">
        <v>13</v>
      </c>
      <c r="B97" s="645" t="s">
        <v>75</v>
      </c>
      <c r="C97" s="645"/>
      <c r="D97" s="645"/>
      <c r="E97" s="645"/>
      <c r="F97" s="645"/>
      <c r="G97" s="645"/>
      <c r="H97" s="12">
        <f>(20/30/12)*0.01416%*45.22</f>
        <v>3.5573066666666665E-4</v>
      </c>
      <c r="I97" s="29">
        <f>(I38+I80+I90)*H97</f>
        <v>0.42176413213946667</v>
      </c>
    </row>
    <row r="98" spans="1:9">
      <c r="A98" s="9" t="s">
        <v>14</v>
      </c>
      <c r="B98" s="645" t="s">
        <v>155</v>
      </c>
      <c r="C98" s="645"/>
      <c r="D98" s="645"/>
      <c r="E98" s="645"/>
      <c r="F98" s="645"/>
      <c r="G98" s="645"/>
      <c r="H98" s="12">
        <f>((15/30)/12)*0.44%</f>
        <v>1.8333333333333334E-4</v>
      </c>
      <c r="I98" s="29">
        <f>(I38+I80+I90)*H98</f>
        <v>0.21736507833333335</v>
      </c>
    </row>
    <row r="99" spans="1:9">
      <c r="A99" s="9" t="s">
        <v>15</v>
      </c>
      <c r="B99" s="645" t="s">
        <v>23</v>
      </c>
      <c r="C99" s="645"/>
      <c r="D99" s="645"/>
      <c r="E99" s="645"/>
      <c r="F99" s="645"/>
      <c r="G99" s="645"/>
      <c r="H99" s="12">
        <f>((180/30)/12*1.416%*54.78%)*H57</f>
        <v>1.4272600320000002E-3</v>
      </c>
      <c r="I99" s="29">
        <f>(I38+I80+I90)*H99</f>
        <v>1.6921990290420865</v>
      </c>
    </row>
    <row r="100" spans="1:9">
      <c r="A100" s="9" t="s">
        <v>16</v>
      </c>
      <c r="B100" s="645" t="s">
        <v>4</v>
      </c>
      <c r="C100" s="645"/>
      <c r="D100" s="645"/>
      <c r="E100" s="645"/>
      <c r="F100" s="645"/>
      <c r="G100" s="645"/>
      <c r="H100" s="12">
        <v>0</v>
      </c>
      <c r="I100" s="29">
        <f>(I38+I80+I90)*H100</f>
        <v>0</v>
      </c>
    </row>
    <row r="101" spans="1:9">
      <c r="A101" s="657" t="s">
        <v>101</v>
      </c>
      <c r="B101" s="657"/>
      <c r="C101" s="657"/>
      <c r="D101" s="657"/>
      <c r="E101" s="657"/>
      <c r="F101" s="657"/>
      <c r="G101" s="657"/>
      <c r="H101" s="14">
        <f>TRUNC(SUM(H95:H100),4)</f>
        <v>0.1019</v>
      </c>
      <c r="I101" s="10">
        <f>TRUNC(SUM(I95:I100),4)</f>
        <v>120.89400000000001</v>
      </c>
    </row>
    <row r="102" spans="1:9">
      <c r="A102" s="674"/>
      <c r="B102" s="675"/>
      <c r="C102" s="675"/>
      <c r="D102" s="675"/>
      <c r="E102" s="675"/>
      <c r="F102" s="675"/>
      <c r="G102" s="675"/>
      <c r="H102" s="675"/>
      <c r="I102" s="675"/>
    </row>
    <row r="103" spans="1:9">
      <c r="A103" s="653" t="s">
        <v>76</v>
      </c>
      <c r="B103" s="653"/>
      <c r="C103" s="653"/>
      <c r="D103" s="653"/>
      <c r="E103" s="653"/>
      <c r="F103" s="653"/>
      <c r="G103" s="653"/>
      <c r="H103" s="94"/>
      <c r="I103" s="94"/>
    </row>
    <row r="104" spans="1:9">
      <c r="A104" s="146" t="s">
        <v>103</v>
      </c>
      <c r="B104" s="654" t="s">
        <v>104</v>
      </c>
      <c r="C104" s="655"/>
      <c r="D104" s="655"/>
      <c r="E104" s="655"/>
      <c r="F104" s="655"/>
      <c r="G104" s="656"/>
      <c r="H104" s="146" t="s">
        <v>3</v>
      </c>
      <c r="I104" s="146" t="s">
        <v>1</v>
      </c>
    </row>
    <row r="105" spans="1:9">
      <c r="A105" s="9" t="s">
        <v>11</v>
      </c>
      <c r="B105" s="645" t="s">
        <v>77</v>
      </c>
      <c r="C105" s="645"/>
      <c r="D105" s="645"/>
      <c r="E105" s="645"/>
      <c r="F105" s="645"/>
      <c r="G105" s="645"/>
      <c r="H105" s="12">
        <v>0</v>
      </c>
      <c r="I105" s="29">
        <f>I38*H105</f>
        <v>0</v>
      </c>
    </row>
    <row r="106" spans="1:9">
      <c r="A106" s="657" t="s">
        <v>22</v>
      </c>
      <c r="B106" s="657"/>
      <c r="C106" s="657"/>
      <c r="D106" s="657"/>
      <c r="E106" s="657"/>
      <c r="F106" s="657"/>
      <c r="G106" s="657"/>
      <c r="H106" s="14">
        <f>TRUNC(SUM(H105),4)</f>
        <v>0</v>
      </c>
      <c r="I106" s="10">
        <f>TRUNC(SUM(I105),4)</f>
        <v>0</v>
      </c>
    </row>
    <row r="107" spans="1:9">
      <c r="A107" s="94"/>
      <c r="B107" s="94"/>
      <c r="C107" s="94"/>
      <c r="D107" s="94"/>
      <c r="E107" s="94"/>
      <c r="F107" s="94"/>
      <c r="G107" s="94"/>
      <c r="H107" s="94"/>
      <c r="I107" s="94"/>
    </row>
    <row r="108" spans="1:9">
      <c r="A108" s="667" t="s">
        <v>78</v>
      </c>
      <c r="B108" s="667"/>
      <c r="C108" s="667"/>
      <c r="D108" s="667"/>
      <c r="E108" s="667"/>
      <c r="F108" s="667"/>
      <c r="G108" s="667"/>
      <c r="H108" s="667"/>
      <c r="I108" s="667"/>
    </row>
    <row r="109" spans="1:9">
      <c r="A109" s="148">
        <v>4</v>
      </c>
      <c r="B109" s="654" t="s">
        <v>105</v>
      </c>
      <c r="C109" s="655"/>
      <c r="D109" s="655"/>
      <c r="E109" s="655"/>
      <c r="F109" s="655"/>
      <c r="G109" s="655"/>
      <c r="H109" s="656"/>
      <c r="I109" s="146" t="s">
        <v>1</v>
      </c>
    </row>
    <row r="110" spans="1:9">
      <c r="A110" s="9" t="s">
        <v>26</v>
      </c>
      <c r="B110" s="671" t="s">
        <v>74</v>
      </c>
      <c r="C110" s="672"/>
      <c r="D110" s="672"/>
      <c r="E110" s="672"/>
      <c r="F110" s="672"/>
      <c r="G110" s="672"/>
      <c r="H110" s="673"/>
      <c r="I110" s="29">
        <f>I101</f>
        <v>120.89400000000001</v>
      </c>
    </row>
    <row r="111" spans="1:9">
      <c r="A111" s="9" t="s">
        <v>27</v>
      </c>
      <c r="B111" s="671" t="s">
        <v>79</v>
      </c>
      <c r="C111" s="672"/>
      <c r="D111" s="672"/>
      <c r="E111" s="672"/>
      <c r="F111" s="672"/>
      <c r="G111" s="672"/>
      <c r="H111" s="673"/>
      <c r="I111" s="29">
        <f>I106</f>
        <v>0</v>
      </c>
    </row>
    <row r="112" spans="1:9">
      <c r="A112" s="657" t="s">
        <v>101</v>
      </c>
      <c r="B112" s="657"/>
      <c r="C112" s="657"/>
      <c r="D112" s="657"/>
      <c r="E112" s="657"/>
      <c r="F112" s="657"/>
      <c r="G112" s="657"/>
      <c r="H112" s="657"/>
      <c r="I112" s="10">
        <f>TRUNC(SUM(I110:I111),4)</f>
        <v>120.89400000000001</v>
      </c>
    </row>
    <row r="113" spans="1:9">
      <c r="A113" s="674"/>
      <c r="B113" s="675"/>
      <c r="C113" s="675"/>
      <c r="D113" s="675"/>
      <c r="E113" s="675"/>
      <c r="F113" s="675"/>
      <c r="G113" s="675"/>
      <c r="H113" s="675"/>
      <c r="I113" s="675"/>
    </row>
    <row r="114" spans="1:9">
      <c r="A114" s="670" t="s">
        <v>80</v>
      </c>
      <c r="B114" s="670"/>
      <c r="C114" s="670"/>
      <c r="D114" s="670"/>
      <c r="E114" s="670"/>
      <c r="F114" s="670"/>
      <c r="G114" s="670"/>
      <c r="H114" s="670"/>
      <c r="I114" s="670"/>
    </row>
    <row r="115" spans="1:9">
      <c r="A115" s="146">
        <v>5</v>
      </c>
      <c r="B115" s="647" t="s">
        <v>20</v>
      </c>
      <c r="C115" s="647"/>
      <c r="D115" s="647"/>
      <c r="E115" s="647"/>
      <c r="F115" s="647"/>
      <c r="G115" s="647"/>
      <c r="H115" s="146" t="s">
        <v>287</v>
      </c>
      <c r="I115" s="146" t="s">
        <v>1</v>
      </c>
    </row>
    <row r="116" spans="1:9">
      <c r="A116" s="9" t="s">
        <v>11</v>
      </c>
      <c r="B116" s="660" t="s">
        <v>81</v>
      </c>
      <c r="C116" s="660"/>
      <c r="D116" s="660"/>
      <c r="E116" s="660"/>
      <c r="F116" s="660"/>
      <c r="G116" s="660"/>
      <c r="H116" s="30" t="s">
        <v>0</v>
      </c>
      <c r="I116" s="29">
        <f>Uniformes!H48</f>
        <v>178.10500000000002</v>
      </c>
    </row>
    <row r="117" spans="1:9">
      <c r="A117" s="9" t="s">
        <v>12</v>
      </c>
      <c r="B117" s="660" t="s">
        <v>21</v>
      </c>
      <c r="C117" s="660"/>
      <c r="D117" s="660"/>
      <c r="E117" s="660"/>
      <c r="F117" s="660"/>
      <c r="G117" s="660"/>
      <c r="H117" s="30" t="s">
        <v>0</v>
      </c>
      <c r="I117" s="29">
        <v>0</v>
      </c>
    </row>
    <row r="118" spans="1:9">
      <c r="A118" s="93" t="s">
        <v>13</v>
      </c>
      <c r="B118" s="660" t="s">
        <v>308</v>
      </c>
      <c r="C118" s="660"/>
      <c r="D118" s="660"/>
      <c r="E118" s="660"/>
      <c r="F118" s="660"/>
      <c r="G118" s="660"/>
      <c r="H118" s="30" t="s">
        <v>0</v>
      </c>
      <c r="I118" s="29">
        <f>'Limpeza - EPIs e EPCs '!G18</f>
        <v>35.074999999999996</v>
      </c>
    </row>
    <row r="119" spans="1:9">
      <c r="A119" s="93" t="s">
        <v>14</v>
      </c>
      <c r="B119" s="660" t="s">
        <v>4</v>
      </c>
      <c r="C119" s="660"/>
      <c r="D119" s="660"/>
      <c r="E119" s="660"/>
      <c r="F119" s="660"/>
      <c r="G119" s="660"/>
      <c r="H119" s="152" t="s">
        <v>0</v>
      </c>
      <c r="I119" s="96">
        <v>0</v>
      </c>
    </row>
    <row r="120" spans="1:9">
      <c r="A120" s="657" t="s">
        <v>82</v>
      </c>
      <c r="B120" s="657"/>
      <c r="C120" s="657"/>
      <c r="D120" s="657"/>
      <c r="E120" s="657"/>
      <c r="F120" s="657"/>
      <c r="G120" s="657"/>
      <c r="H120" s="101" t="s">
        <v>0</v>
      </c>
      <c r="I120" s="102">
        <f>TRUNC(SUM(I116:I119),4)</f>
        <v>213.18</v>
      </c>
    </row>
    <row r="121" spans="1:9">
      <c r="A121" s="16"/>
      <c r="B121" s="16"/>
      <c r="C121" s="16"/>
      <c r="D121" s="16"/>
      <c r="E121" s="16"/>
      <c r="F121" s="16"/>
      <c r="G121" s="16"/>
      <c r="H121" s="17"/>
      <c r="I121" s="18"/>
    </row>
    <row r="122" spans="1:9">
      <c r="A122" s="670" t="s">
        <v>83</v>
      </c>
      <c r="B122" s="670"/>
      <c r="C122" s="670"/>
      <c r="D122" s="670"/>
      <c r="E122" s="670"/>
      <c r="F122" s="670"/>
      <c r="G122" s="670"/>
      <c r="H122" s="670"/>
      <c r="I122" s="670"/>
    </row>
    <row r="123" spans="1:9">
      <c r="A123" s="146">
        <v>6</v>
      </c>
      <c r="B123" s="647" t="s">
        <v>25</v>
      </c>
      <c r="C123" s="647"/>
      <c r="D123" s="647"/>
      <c r="E123" s="647"/>
      <c r="F123" s="647"/>
      <c r="G123" s="647"/>
      <c r="H123" s="146" t="s">
        <v>3</v>
      </c>
      <c r="I123" s="146" t="s">
        <v>1</v>
      </c>
    </row>
    <row r="124" spans="1:9">
      <c r="A124" s="9" t="s">
        <v>11</v>
      </c>
      <c r="B124" s="645" t="s">
        <v>28</v>
      </c>
      <c r="C124" s="645"/>
      <c r="D124" s="645"/>
      <c r="E124" s="645"/>
      <c r="F124" s="645"/>
      <c r="G124" s="645"/>
      <c r="H124" s="177">
        <v>0.05</v>
      </c>
      <c r="I124" s="29">
        <f>TRUNC(H124*I145,2)</f>
        <v>75.98</v>
      </c>
    </row>
    <row r="125" spans="1:9">
      <c r="A125" s="9" t="s">
        <v>12</v>
      </c>
      <c r="B125" s="645" t="s">
        <v>5</v>
      </c>
      <c r="C125" s="645"/>
      <c r="D125" s="645"/>
      <c r="E125" s="645"/>
      <c r="F125" s="645"/>
      <c r="G125" s="645"/>
      <c r="H125" s="177">
        <v>6.7900000000000002E-2</v>
      </c>
      <c r="I125" s="29">
        <f>TRUNC(H125*(I124+I145),2)</f>
        <v>108.34</v>
      </c>
    </row>
    <row r="126" spans="1:9">
      <c r="A126" s="9" t="s">
        <v>13</v>
      </c>
      <c r="B126" s="676" t="s">
        <v>38</v>
      </c>
      <c r="C126" s="676"/>
      <c r="D126" s="676"/>
      <c r="E126" s="676"/>
      <c r="F126" s="676"/>
      <c r="G126" s="676"/>
      <c r="H126" s="178"/>
      <c r="I126" s="22"/>
    </row>
    <row r="127" spans="1:9">
      <c r="A127" s="9"/>
      <c r="B127" s="671" t="s">
        <v>150</v>
      </c>
      <c r="C127" s="672"/>
      <c r="D127" s="672"/>
      <c r="E127" s="672"/>
      <c r="F127" s="672"/>
      <c r="G127" s="672"/>
      <c r="H127" s="672"/>
      <c r="I127" s="673"/>
    </row>
    <row r="128" spans="1:9">
      <c r="A128" s="9"/>
      <c r="B128" s="645" t="s">
        <v>422</v>
      </c>
      <c r="C128" s="645"/>
      <c r="D128" s="645"/>
      <c r="E128" s="645"/>
      <c r="F128" s="645"/>
      <c r="G128" s="645"/>
      <c r="H128" s="179">
        <v>6.4999999999999997E-3</v>
      </c>
      <c r="I128" s="209">
        <f>(I145+I124+I125)/(1-SUM(E128:H135))*H128</f>
        <v>11.801961694192862</v>
      </c>
    </row>
    <row r="129" spans="1:9">
      <c r="A129" s="9"/>
      <c r="B129" s="645" t="s">
        <v>424</v>
      </c>
      <c r="C129" s="645"/>
      <c r="D129" s="645"/>
      <c r="E129" s="645"/>
      <c r="F129" s="645"/>
      <c r="G129" s="645"/>
      <c r="H129" s="179">
        <v>0.03</v>
      </c>
      <c r="I129" s="209">
        <f>(I145+I124+I125)/(1-SUM(E128:H135))*H129</f>
        <v>54.470592434736282</v>
      </c>
    </row>
    <row r="130" spans="1:9">
      <c r="A130" s="9"/>
      <c r="B130" s="645"/>
      <c r="C130" s="645"/>
      <c r="D130" s="645"/>
      <c r="E130" s="645"/>
      <c r="F130" s="645"/>
      <c r="G130" s="645"/>
      <c r="H130" s="179"/>
      <c r="I130" s="209">
        <f>(I145+I124+I125)/(1-SUM(E128:H135))*H130</f>
        <v>0</v>
      </c>
    </row>
    <row r="131" spans="1:9">
      <c r="A131" s="9"/>
      <c r="B131" s="645"/>
      <c r="C131" s="645"/>
      <c r="D131" s="645"/>
      <c r="E131" s="645"/>
      <c r="F131" s="645"/>
      <c r="G131" s="645"/>
      <c r="H131" s="179"/>
      <c r="I131" s="209">
        <f>(I145+I124+I125)/(1-SUM(E128:H135))*H131</f>
        <v>0</v>
      </c>
    </row>
    <row r="132" spans="1:9">
      <c r="A132" s="9"/>
      <c r="B132" s="671" t="s">
        <v>141</v>
      </c>
      <c r="C132" s="672"/>
      <c r="D132" s="672"/>
      <c r="E132" s="672"/>
      <c r="F132" s="672"/>
      <c r="G132" s="672"/>
      <c r="H132" s="20"/>
      <c r="I132" s="21"/>
    </row>
    <row r="133" spans="1:9">
      <c r="A133" s="9"/>
      <c r="B133" s="645" t="s">
        <v>151</v>
      </c>
      <c r="C133" s="645"/>
      <c r="D133" s="645"/>
      <c r="E133" s="645"/>
      <c r="F133" s="645"/>
      <c r="G133" s="645"/>
      <c r="H133" s="179">
        <v>0</v>
      </c>
      <c r="I133" s="209">
        <f>(I145+I124+I125)/(1-SUM(E128:H135))*H133</f>
        <v>0</v>
      </c>
    </row>
    <row r="134" spans="1:9">
      <c r="A134" s="9"/>
      <c r="B134" s="671" t="s">
        <v>152</v>
      </c>
      <c r="C134" s="672"/>
      <c r="D134" s="672"/>
      <c r="E134" s="672"/>
      <c r="F134" s="672"/>
      <c r="G134" s="672"/>
      <c r="H134" s="20"/>
      <c r="I134" s="21"/>
    </row>
    <row r="135" spans="1:9">
      <c r="A135" s="9"/>
      <c r="B135" s="645" t="s">
        <v>153</v>
      </c>
      <c r="C135" s="645"/>
      <c r="D135" s="645"/>
      <c r="E135" s="645"/>
      <c r="F135" s="645"/>
      <c r="G135" s="645"/>
      <c r="H135" s="179">
        <v>2.5000000000000001E-2</v>
      </c>
      <c r="I135" s="209">
        <f>(I145+I124+I125)/(1-SUM(E128:H135))*H135</f>
        <v>45.392160362280237</v>
      </c>
    </row>
    <row r="136" spans="1:9">
      <c r="A136" s="657" t="s">
        <v>101</v>
      </c>
      <c r="B136" s="657"/>
      <c r="C136" s="657"/>
      <c r="D136" s="657"/>
      <c r="E136" s="657"/>
      <c r="F136" s="657"/>
      <c r="G136" s="657"/>
      <c r="H136" s="181">
        <f>SUM(H124:H135)</f>
        <v>0.1794</v>
      </c>
      <c r="I136" s="10">
        <f>TRUNC(SUM(I124:I135),4)</f>
        <v>295.98469999999998</v>
      </c>
    </row>
    <row r="137" spans="1:9">
      <c r="A137" s="95"/>
      <c r="B137" s="95"/>
      <c r="C137" s="95"/>
      <c r="D137" s="95"/>
      <c r="E137" s="95"/>
      <c r="F137" s="95"/>
      <c r="G137" s="95"/>
      <c r="H137" s="25"/>
      <c r="I137" s="11"/>
    </row>
    <row r="138" spans="1:9">
      <c r="A138" s="667" t="s">
        <v>87</v>
      </c>
      <c r="B138" s="667"/>
      <c r="C138" s="667"/>
      <c r="D138" s="667"/>
      <c r="E138" s="667"/>
      <c r="F138" s="667"/>
      <c r="G138" s="667"/>
      <c r="H138" s="667"/>
      <c r="I138" s="667"/>
    </row>
    <row r="139" spans="1:9">
      <c r="A139" s="26"/>
      <c r="B139" s="26" t="s">
        <v>29</v>
      </c>
      <c r="C139" s="27"/>
      <c r="D139" s="27"/>
      <c r="E139" s="27"/>
      <c r="F139" s="27"/>
      <c r="G139" s="27"/>
      <c r="H139" s="28"/>
      <c r="I139" s="146" t="s">
        <v>1</v>
      </c>
    </row>
    <row r="140" spans="1:9">
      <c r="A140" s="30" t="s">
        <v>11</v>
      </c>
      <c r="B140" s="645" t="str">
        <f>A29</f>
        <v>MÓDULO 1 - COMPOSIÇÃO DA REMUNERAÇÃO</v>
      </c>
      <c r="C140" s="645"/>
      <c r="D140" s="645"/>
      <c r="E140" s="645"/>
      <c r="F140" s="645"/>
      <c r="G140" s="645"/>
      <c r="H140" s="645"/>
      <c r="I140" s="29">
        <f>I38</f>
        <v>481.09089999999998</v>
      </c>
    </row>
    <row r="141" spans="1:9">
      <c r="A141" s="30" t="s">
        <v>12</v>
      </c>
      <c r="B141" s="645" t="str">
        <f>A40</f>
        <v>MÓDULO 2 – ENCARGOS E BENEFÍCIOS ANUAIS, MENSAIS E DIÁRIOS</v>
      </c>
      <c r="C141" s="645"/>
      <c r="D141" s="645"/>
      <c r="E141" s="645"/>
      <c r="F141" s="645"/>
      <c r="G141" s="645"/>
      <c r="H141" s="645"/>
      <c r="I141" s="29">
        <f>I80</f>
        <v>672.72609999999997</v>
      </c>
    </row>
    <row r="142" spans="1:9">
      <c r="A142" s="30" t="s">
        <v>13</v>
      </c>
      <c r="B142" s="645" t="str">
        <f>A82</f>
        <v>MÓDULO 3 – PROVISÃO PARA RESCISÃO</v>
      </c>
      <c r="C142" s="645"/>
      <c r="D142" s="645"/>
      <c r="E142" s="645"/>
      <c r="F142" s="645"/>
      <c r="G142" s="645"/>
      <c r="H142" s="645"/>
      <c r="I142" s="29">
        <f>I90</f>
        <v>31.810700000000001</v>
      </c>
    </row>
    <row r="143" spans="1:9">
      <c r="A143" s="30" t="s">
        <v>14</v>
      </c>
      <c r="B143" s="645" t="str">
        <f>A92</f>
        <v>MÓDULO 4 – CUSTO DE REPOSIÇÃO DO PROFISSIONAL AUSENTE</v>
      </c>
      <c r="C143" s="645"/>
      <c r="D143" s="645"/>
      <c r="E143" s="645"/>
      <c r="F143" s="645"/>
      <c r="G143" s="645"/>
      <c r="H143" s="645"/>
      <c r="I143" s="29">
        <f>I112</f>
        <v>120.89400000000001</v>
      </c>
    </row>
    <row r="144" spans="1:9">
      <c r="A144" s="30" t="s">
        <v>15</v>
      </c>
      <c r="B144" s="645" t="str">
        <f>A114</f>
        <v>MÓDULO 5 – INSUMOS DIVERSOS</v>
      </c>
      <c r="C144" s="645"/>
      <c r="D144" s="645"/>
      <c r="E144" s="645"/>
      <c r="F144" s="645"/>
      <c r="G144" s="645"/>
      <c r="H144" s="645"/>
      <c r="I144" s="29">
        <f>I120</f>
        <v>213.18</v>
      </c>
    </row>
    <row r="145" spans="1:22">
      <c r="A145" s="9"/>
      <c r="B145" s="657" t="s">
        <v>84</v>
      </c>
      <c r="C145" s="657"/>
      <c r="D145" s="657"/>
      <c r="E145" s="657"/>
      <c r="F145" s="657"/>
      <c r="G145" s="657"/>
      <c r="H145" s="657"/>
      <c r="I145" s="10">
        <f>TRUNC(SUM(I140:I144),4)</f>
        <v>1519.7017000000001</v>
      </c>
    </row>
    <row r="146" spans="1:22">
      <c r="A146" s="30" t="s">
        <v>16</v>
      </c>
      <c r="B146" s="645" t="str">
        <f>A122</f>
        <v>MÓDULO 6 – CUSTOS INDIRETOS, TRIBUTOS E LUCRO</v>
      </c>
      <c r="C146" s="645"/>
      <c r="D146" s="645"/>
      <c r="E146" s="645"/>
      <c r="F146" s="645"/>
      <c r="G146" s="645"/>
      <c r="H146" s="645"/>
      <c r="I146" s="29">
        <f>I136</f>
        <v>295.98469999999998</v>
      </c>
    </row>
    <row r="147" spans="1:22">
      <c r="A147" s="684" t="s">
        <v>156</v>
      </c>
      <c r="B147" s="685"/>
      <c r="C147" s="685"/>
      <c r="D147" s="685"/>
      <c r="E147" s="685"/>
      <c r="F147" s="685"/>
      <c r="G147" s="685"/>
      <c r="H147" s="686"/>
      <c r="I147" s="10">
        <f>TRUNC(SUM(I145:I146),4)</f>
        <v>1815.6864</v>
      </c>
    </row>
    <row r="148" spans="1:22">
      <c r="A148" s="5"/>
      <c r="B148" s="5"/>
      <c r="C148" s="5"/>
      <c r="D148" s="5"/>
      <c r="E148" s="5"/>
      <c r="F148" s="5"/>
      <c r="G148" s="5"/>
      <c r="H148" s="5"/>
      <c r="I148" s="69"/>
    </row>
    <row r="149" spans="1:22">
      <c r="A149" s="677" t="s">
        <v>88</v>
      </c>
      <c r="B149" s="678"/>
      <c r="C149" s="678"/>
      <c r="D149" s="678"/>
      <c r="E149" s="678"/>
      <c r="F149" s="678"/>
      <c r="G149" s="678"/>
      <c r="H149" s="678"/>
      <c r="I149" s="679"/>
    </row>
    <row r="150" spans="1:22" ht="56">
      <c r="A150" s="680" t="s">
        <v>90</v>
      </c>
      <c r="B150" s="680"/>
      <c r="C150" s="680" t="s">
        <v>91</v>
      </c>
      <c r="D150" s="680"/>
      <c r="E150" s="140" t="s">
        <v>293</v>
      </c>
      <c r="F150" s="680" t="s">
        <v>92</v>
      </c>
      <c r="G150" s="680"/>
      <c r="H150" s="140" t="s">
        <v>93</v>
      </c>
      <c r="I150" s="140" t="s">
        <v>94</v>
      </c>
    </row>
    <row r="151" spans="1:22" ht="27.65" customHeight="1">
      <c r="A151" s="681" t="str">
        <f>I23</f>
        <v>Limpeza</v>
      </c>
      <c r="B151" s="682"/>
      <c r="C151" s="683">
        <f>(I147-I117)</f>
        <v>1815.6864</v>
      </c>
      <c r="D151" s="683"/>
      <c r="E151" s="72">
        <v>1</v>
      </c>
      <c r="F151" s="683">
        <f>(I147-I117)</f>
        <v>1815.6864</v>
      </c>
      <c r="G151" s="683"/>
      <c r="H151" s="72">
        <v>1</v>
      </c>
      <c r="I151" s="141">
        <f>F151*H151</f>
        <v>1815.6864</v>
      </c>
    </row>
    <row r="152" spans="1:22">
      <c r="A152" s="681" t="s">
        <v>298</v>
      </c>
      <c r="B152" s="682"/>
      <c r="C152" s="694">
        <v>0</v>
      </c>
      <c r="D152" s="695"/>
      <c r="E152" s="144">
        <v>0</v>
      </c>
      <c r="F152" s="696">
        <v>0</v>
      </c>
      <c r="G152" s="696"/>
      <c r="H152" s="144">
        <v>0</v>
      </c>
      <c r="I152" s="29">
        <v>0</v>
      </c>
    </row>
    <row r="153" spans="1:22">
      <c r="A153" s="74" t="s">
        <v>306</v>
      </c>
      <c r="B153" s="75"/>
      <c r="C153" s="683"/>
      <c r="D153" s="697"/>
      <c r="E153" s="145"/>
      <c r="F153" s="698"/>
      <c r="G153" s="698"/>
      <c r="H153" s="89"/>
      <c r="I153" s="76">
        <f>TRUNC(SUM(I152,I151),4)</f>
        <v>1815.6864</v>
      </c>
    </row>
    <row r="154" spans="1:22">
      <c r="A154" s="142" t="s">
        <v>307</v>
      </c>
      <c r="B154" s="87"/>
      <c r="C154" s="90"/>
      <c r="D154" s="87"/>
      <c r="E154" s="87"/>
      <c r="F154" s="87"/>
      <c r="G154" s="87"/>
      <c r="H154" s="91"/>
      <c r="I154" s="88">
        <f>TRUNC((I153*12),4)</f>
        <v>21788.236799999999</v>
      </c>
    </row>
    <row r="155" spans="1:22">
      <c r="A155" s="85"/>
      <c r="B155" s="85"/>
      <c r="C155" s="85"/>
      <c r="D155" s="85"/>
      <c r="E155" s="85"/>
      <c r="F155" s="85"/>
      <c r="G155" s="85"/>
      <c r="H155" s="85"/>
      <c r="I155" s="86"/>
    </row>
    <row r="156" spans="1:22" ht="14.5" thickBot="1">
      <c r="A156" s="143"/>
      <c r="B156" s="699" t="s">
        <v>305</v>
      </c>
      <c r="C156" s="699"/>
      <c r="D156" s="699"/>
      <c r="E156" s="699"/>
      <c r="F156" s="699"/>
      <c r="G156" s="699"/>
      <c r="H156" s="95"/>
      <c r="I156" s="9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</row>
    <row r="157" spans="1:22">
      <c r="A157" s="687" t="s">
        <v>131</v>
      </c>
      <c r="B157" s="688"/>
      <c r="C157" s="688"/>
      <c r="D157" s="688"/>
      <c r="E157" s="31"/>
      <c r="F157" s="689" t="s">
        <v>132</v>
      </c>
      <c r="G157" s="689"/>
      <c r="H157" s="689"/>
      <c r="I157" s="690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</row>
    <row r="158" spans="1:22">
      <c r="A158" s="691" t="s">
        <v>317</v>
      </c>
      <c r="B158" s="692"/>
      <c r="C158" s="692"/>
      <c r="D158" s="692"/>
      <c r="E158" s="32"/>
      <c r="F158" s="692" t="s">
        <v>317</v>
      </c>
      <c r="G158" s="692"/>
      <c r="H158" s="692"/>
      <c r="I158" s="693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</row>
    <row r="159" spans="1:22">
      <c r="A159" s="33" t="s">
        <v>133</v>
      </c>
      <c r="B159" s="34" t="s">
        <v>142</v>
      </c>
      <c r="C159" s="34" t="s">
        <v>134</v>
      </c>
      <c r="D159" s="34" t="s">
        <v>24</v>
      </c>
      <c r="E159" s="32"/>
      <c r="F159" s="34" t="s">
        <v>133</v>
      </c>
      <c r="G159" s="34" t="s">
        <v>142</v>
      </c>
      <c r="H159" s="34" t="s">
        <v>134</v>
      </c>
      <c r="I159" s="35" t="s">
        <v>101</v>
      </c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</row>
    <row r="160" spans="1:22">
      <c r="A160" s="180">
        <v>0</v>
      </c>
      <c r="B160" s="182">
        <v>1</v>
      </c>
      <c r="C160" s="182">
        <v>26</v>
      </c>
      <c r="D160" s="183">
        <f>A160*B160*C160</f>
        <v>0</v>
      </c>
      <c r="E160" s="184"/>
      <c r="F160" s="173">
        <v>26.833300000000001</v>
      </c>
      <c r="G160" s="37">
        <v>1</v>
      </c>
      <c r="H160" s="37">
        <v>13</v>
      </c>
      <c r="I160" s="97">
        <f>F160*G160*H160</f>
        <v>348.8329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</row>
    <row r="161" spans="1:22">
      <c r="A161" s="77"/>
      <c r="B161" s="78"/>
      <c r="C161" s="79"/>
      <c r="D161" s="80"/>
      <c r="E161" s="32"/>
      <c r="F161" s="81"/>
      <c r="G161" s="79"/>
      <c r="H161" s="79"/>
      <c r="I161" s="82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</row>
    <row r="162" spans="1:22" ht="18.649999999999999" customHeight="1">
      <c r="A162" s="33" t="s">
        <v>33</v>
      </c>
      <c r="B162" s="34" t="s">
        <v>3</v>
      </c>
      <c r="C162" s="34" t="s">
        <v>24</v>
      </c>
      <c r="D162" s="41"/>
      <c r="E162" s="32"/>
      <c r="F162" s="34" t="s">
        <v>24</v>
      </c>
      <c r="G162" s="34"/>
      <c r="H162" s="34" t="s">
        <v>24</v>
      </c>
      <c r="I162" s="43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</row>
    <row r="163" spans="1:22">
      <c r="A163" s="44">
        <f>I31</f>
        <v>481.09090909090907</v>
      </c>
      <c r="B163" s="34">
        <v>6</v>
      </c>
      <c r="C163" s="38">
        <v>0</v>
      </c>
      <c r="D163" s="41"/>
      <c r="E163" s="32"/>
      <c r="F163" s="38">
        <f>I160</f>
        <v>348.8329</v>
      </c>
      <c r="G163" s="45">
        <v>0.2</v>
      </c>
      <c r="H163" s="38">
        <f>F163*G163</f>
        <v>69.766580000000005</v>
      </c>
      <c r="I163" s="43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</row>
    <row r="164" spans="1:22">
      <c r="A164" s="46"/>
      <c r="B164" s="40"/>
      <c r="C164" s="40"/>
      <c r="D164" s="41"/>
      <c r="E164" s="32"/>
      <c r="F164" s="42"/>
      <c r="G164" s="40"/>
      <c r="H164" s="40"/>
      <c r="I164" s="43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</row>
    <row r="165" spans="1:22" ht="14.5" thickBot="1">
      <c r="A165" s="47" t="s">
        <v>135</v>
      </c>
      <c r="B165" s="48"/>
      <c r="C165" s="49"/>
      <c r="D165" s="41"/>
      <c r="E165" s="32"/>
      <c r="F165" s="48" t="s">
        <v>136</v>
      </c>
      <c r="G165" s="48"/>
      <c r="H165" s="49"/>
      <c r="I165" s="43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</row>
    <row r="166" spans="1:22" ht="26.25" customHeight="1" thickBot="1">
      <c r="A166" s="44">
        <f>D160</f>
        <v>0</v>
      </c>
      <c r="B166" s="50">
        <f>C163</f>
        <v>0</v>
      </c>
      <c r="C166" s="51">
        <f>A166-B166</f>
        <v>0</v>
      </c>
      <c r="D166" s="52"/>
      <c r="E166" s="32"/>
      <c r="F166" s="38">
        <f>I160</f>
        <v>348.8329</v>
      </c>
      <c r="G166" s="53">
        <f>H163</f>
        <v>69.766580000000005</v>
      </c>
      <c r="H166" s="51">
        <f>F166-G166</f>
        <v>279.06632000000002</v>
      </c>
      <c r="I166" s="5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</row>
    <row r="167" spans="1:22" ht="26.25" customHeight="1">
      <c r="A167" s="32"/>
      <c r="B167" s="32"/>
      <c r="C167" s="32"/>
      <c r="D167" s="32"/>
      <c r="E167" s="32"/>
      <c r="F167" s="32"/>
      <c r="G167" s="32"/>
      <c r="H167" s="32"/>
      <c r="I167" s="32"/>
    </row>
    <row r="168" spans="1:22" ht="26.25" customHeight="1">
      <c r="A168" s="32"/>
      <c r="B168" s="32"/>
      <c r="C168" s="32"/>
      <c r="D168" s="32"/>
      <c r="E168" s="32"/>
      <c r="F168" s="32"/>
      <c r="G168" s="32"/>
      <c r="H168" s="32"/>
      <c r="I168" s="32"/>
    </row>
    <row r="169" spans="1:22">
      <c r="A169" s="83"/>
      <c r="B169" s="84"/>
      <c r="C169" s="84"/>
      <c r="D169" s="84"/>
      <c r="E169" s="84"/>
      <c r="F169" s="84"/>
      <c r="G169" s="84"/>
      <c r="H169" s="84"/>
      <c r="I169" s="84"/>
    </row>
  </sheetData>
  <customSheetViews>
    <customSheetView guid="{7D072CBA-4F2D-4FAE-88D9-B6A678BA20E4}" showPageBreaks="1" printArea="1" view="pageBreakPreview">
      <selection activeCell="L31" sqref="L31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1"/>
      <headerFooter alignWithMargins="0"/>
    </customSheetView>
    <customSheetView guid="{E52CD1FC-BC62-45DA-B0AB-D94F42ADC76D}" showPageBreaks="1" printArea="1" view="pageBreakPreview">
      <selection activeCell="I30" sqref="I30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2"/>
      <headerFooter alignWithMargins="0"/>
    </customSheetView>
    <customSheetView guid="{7AD910D7-FBD5-40ED-8BA7-40BE0FBC3F4B}" showPageBreaks="1" printArea="1" view="pageBreakPreview" topLeftCell="A148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3"/>
      <headerFooter alignWithMargins="0"/>
    </customSheetView>
    <customSheetView guid="{76ECB78A-7CDD-46D1-8666-1706A28EB544}" showPageBreaks="1" printArea="1" view="pageBreakPreview" topLeftCell="A148">
      <selection activeCell="C3" sqref="C3:D3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65" firstPageNumber="0" orientation="portrait" verticalDpi="300" r:id="rId4"/>
      <headerFooter alignWithMargins="0"/>
    </customSheetView>
    <customSheetView guid="{418E0683-5E85-4E09-83DB-7513FB73C39E}" showPageBreaks="1" printArea="1" view="pageBreakPreview">
      <selection activeCell="L31" sqref="L31"/>
      <rowBreaks count="1" manualBreakCount="1">
        <brk id="80" max="8" man="1"/>
      </rowBreaks>
      <colBreaks count="1" manualBreakCount="1">
        <brk id="9" max="1048575" man="1"/>
      </colBreaks>
      <pageMargins left="0.39370078740157483" right="0.39370078740157483" top="0.59055118110236227" bottom="0.39370078740157483" header="0.15748031496062992" footer="0.15748031496062992"/>
      <printOptions horizontalCentered="1"/>
      <pageSetup paperSize="9" scale="58" firstPageNumber="0" orientation="portrait" verticalDpi="300" r:id="rId5"/>
      <headerFooter alignWithMargins="0"/>
    </customSheetView>
  </customSheetViews>
  <mergeCells count="151">
    <mergeCell ref="A1:I1"/>
    <mergeCell ref="A6:I6"/>
    <mergeCell ref="A8:I8"/>
    <mergeCell ref="B9:H9"/>
    <mergeCell ref="B10:H10"/>
    <mergeCell ref="B11:H11"/>
    <mergeCell ref="A16:B16"/>
    <mergeCell ref="C16:D16"/>
    <mergeCell ref="E16:I16"/>
    <mergeCell ref="A17:B17"/>
    <mergeCell ref="C17:D17"/>
    <mergeCell ref="E17:I17"/>
    <mergeCell ref="B12:H12"/>
    <mergeCell ref="A14:I14"/>
    <mergeCell ref="A15:B15"/>
    <mergeCell ref="C15:D15"/>
    <mergeCell ref="E15:I15"/>
    <mergeCell ref="B24:H24"/>
    <mergeCell ref="B25:H25"/>
    <mergeCell ref="B26:H26"/>
    <mergeCell ref="B27:H27"/>
    <mergeCell ref="A29:I29"/>
    <mergeCell ref="B30:G30"/>
    <mergeCell ref="A18:B18"/>
    <mergeCell ref="C18:D18"/>
    <mergeCell ref="E18:I18"/>
    <mergeCell ref="A20:B20"/>
    <mergeCell ref="A22:I22"/>
    <mergeCell ref="B23:H23"/>
    <mergeCell ref="B37:G37"/>
    <mergeCell ref="A38:H38"/>
    <mergeCell ref="A40:I40"/>
    <mergeCell ref="A41:G41"/>
    <mergeCell ref="B42:G42"/>
    <mergeCell ref="B43:G43"/>
    <mergeCell ref="B31:G31"/>
    <mergeCell ref="B32:G32"/>
    <mergeCell ref="B33:G33"/>
    <mergeCell ref="B34:G34"/>
    <mergeCell ref="B35:G35"/>
    <mergeCell ref="B36:G36"/>
    <mergeCell ref="B51:G51"/>
    <mergeCell ref="B52:G52"/>
    <mergeCell ref="B53:G53"/>
    <mergeCell ref="B54:G54"/>
    <mergeCell ref="B55:G55"/>
    <mergeCell ref="B56:G56"/>
    <mergeCell ref="B44:G44"/>
    <mergeCell ref="A45:G45"/>
    <mergeCell ref="A47:I47"/>
    <mergeCell ref="B48:G48"/>
    <mergeCell ref="B49:G49"/>
    <mergeCell ref="B50:G50"/>
    <mergeCell ref="B65:G65"/>
    <mergeCell ref="B66:G66"/>
    <mergeCell ref="B67:G67"/>
    <mergeCell ref="B68:G68"/>
    <mergeCell ref="B69:G69"/>
    <mergeCell ref="B70:G70"/>
    <mergeCell ref="A57:G57"/>
    <mergeCell ref="B60:G60"/>
    <mergeCell ref="B61:G61"/>
    <mergeCell ref="B62:G62"/>
    <mergeCell ref="B63:G63"/>
    <mergeCell ref="B64:G64"/>
    <mergeCell ref="A81:I81"/>
    <mergeCell ref="A82:I82"/>
    <mergeCell ref="B83:G83"/>
    <mergeCell ref="B84:G84"/>
    <mergeCell ref="B85:G85"/>
    <mergeCell ref="B86:G86"/>
    <mergeCell ref="B71:G71"/>
    <mergeCell ref="B72:G72"/>
    <mergeCell ref="A73:H73"/>
    <mergeCell ref="A75:I75"/>
    <mergeCell ref="B76:H76"/>
    <mergeCell ref="A80:H80"/>
    <mergeCell ref="A93:I93"/>
    <mergeCell ref="B94:G94"/>
    <mergeCell ref="B95:G95"/>
    <mergeCell ref="B96:G96"/>
    <mergeCell ref="B97:G97"/>
    <mergeCell ref="B98:G98"/>
    <mergeCell ref="B87:G87"/>
    <mergeCell ref="B88:G88"/>
    <mergeCell ref="B89:G89"/>
    <mergeCell ref="A90:G90"/>
    <mergeCell ref="A91:I91"/>
    <mergeCell ref="A92:I92"/>
    <mergeCell ref="B105:G105"/>
    <mergeCell ref="A106:G106"/>
    <mergeCell ref="A108:I108"/>
    <mergeCell ref="B109:H109"/>
    <mergeCell ref="B110:H110"/>
    <mergeCell ref="B111:H111"/>
    <mergeCell ref="B99:G99"/>
    <mergeCell ref="B100:G100"/>
    <mergeCell ref="A101:G101"/>
    <mergeCell ref="A102:I102"/>
    <mergeCell ref="A103:G103"/>
    <mergeCell ref="B104:G104"/>
    <mergeCell ref="B118:G118"/>
    <mergeCell ref="B119:G119"/>
    <mergeCell ref="A120:G120"/>
    <mergeCell ref="A122:I122"/>
    <mergeCell ref="B123:G123"/>
    <mergeCell ref="B124:G124"/>
    <mergeCell ref="A112:H112"/>
    <mergeCell ref="A113:I113"/>
    <mergeCell ref="A114:I114"/>
    <mergeCell ref="B115:G115"/>
    <mergeCell ref="B116:G116"/>
    <mergeCell ref="B117:G117"/>
    <mergeCell ref="B131:G131"/>
    <mergeCell ref="B133:G133"/>
    <mergeCell ref="B135:G135"/>
    <mergeCell ref="A136:G136"/>
    <mergeCell ref="B125:G125"/>
    <mergeCell ref="B126:G126"/>
    <mergeCell ref="B127:I127"/>
    <mergeCell ref="B128:G128"/>
    <mergeCell ref="B129:G129"/>
    <mergeCell ref="B130:G130"/>
    <mergeCell ref="B132:G132"/>
    <mergeCell ref="B134:G134"/>
    <mergeCell ref="B145:H145"/>
    <mergeCell ref="B146:H146"/>
    <mergeCell ref="A147:H147"/>
    <mergeCell ref="A149:I149"/>
    <mergeCell ref="A150:B150"/>
    <mergeCell ref="C150:D150"/>
    <mergeCell ref="F150:G150"/>
    <mergeCell ref="A138:I138"/>
    <mergeCell ref="B140:H140"/>
    <mergeCell ref="B141:H141"/>
    <mergeCell ref="B142:H142"/>
    <mergeCell ref="B143:H143"/>
    <mergeCell ref="B144:H144"/>
    <mergeCell ref="C153:D153"/>
    <mergeCell ref="F153:G153"/>
    <mergeCell ref="B156:G156"/>
    <mergeCell ref="A157:D157"/>
    <mergeCell ref="F157:I157"/>
    <mergeCell ref="A158:D158"/>
    <mergeCell ref="F158:I158"/>
    <mergeCell ref="A151:B151"/>
    <mergeCell ref="C151:D151"/>
    <mergeCell ref="F151:G151"/>
    <mergeCell ref="A152:B152"/>
    <mergeCell ref="C152:D152"/>
    <mergeCell ref="F152:G152"/>
  </mergeCells>
  <printOptions horizontalCentered="1"/>
  <pageMargins left="0.39370078740157483" right="0.39370078740157483" top="0.59055118110236227" bottom="0.39370078740157483" header="0.15748031496062992" footer="0.15748031496062992"/>
  <pageSetup paperSize="9" scale="58" firstPageNumber="0" orientation="portrait" verticalDpi="300" r:id="rId6"/>
  <headerFooter alignWithMargins="0"/>
  <rowBreaks count="1" manualBreakCount="1">
    <brk id="91" max="9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ilha48">
    <tabColor rgb="FF92D050"/>
  </sheetPr>
  <dimension ref="A1:K141"/>
  <sheetViews>
    <sheetView view="pageBreakPreview" zoomScaleNormal="100" zoomScaleSheetLayoutView="100" workbookViewId="0">
      <selection activeCell="E5" sqref="E5"/>
    </sheetView>
  </sheetViews>
  <sheetFormatPr defaultColWidth="9.1796875" defaultRowHeight="12.5"/>
  <cols>
    <col min="2" max="2" width="14" customWidth="1"/>
    <col min="3" max="3" width="7.453125" style="556" bestFit="1" customWidth="1"/>
    <col min="4" max="4" width="53.1796875" bestFit="1" customWidth="1"/>
    <col min="5" max="5" width="23.453125" bestFit="1" customWidth="1"/>
    <col min="6" max="6" width="10.453125" bestFit="1" customWidth="1"/>
    <col min="7" max="7" width="25.81640625" bestFit="1" customWidth="1"/>
    <col min="8" max="8" width="27.1796875" customWidth="1"/>
    <col min="9" max="9" width="25.1796875" customWidth="1"/>
  </cols>
  <sheetData>
    <row r="1" spans="1:8" ht="13.5" customHeight="1" thickBot="1">
      <c r="A1" s="801" t="s">
        <v>157</v>
      </c>
      <c r="B1" s="801"/>
      <c r="C1" s="801"/>
      <c r="D1" s="801"/>
      <c r="E1" s="801"/>
      <c r="F1" s="801"/>
      <c r="G1" s="801"/>
      <c r="H1" s="801"/>
    </row>
    <row r="2" spans="1:8" ht="14.5" thickBot="1">
      <c r="A2" s="577"/>
      <c r="B2" s="577"/>
      <c r="C2" s="577"/>
      <c r="D2" s="577"/>
      <c r="E2" s="577"/>
      <c r="F2" s="577"/>
      <c r="G2" s="577"/>
      <c r="H2" s="577"/>
    </row>
    <row r="3" spans="1:8" ht="15" customHeight="1">
      <c r="A3" s="798" t="s">
        <v>558</v>
      </c>
      <c r="B3" s="798"/>
      <c r="C3" s="798"/>
      <c r="D3" s="798"/>
      <c r="E3" s="798"/>
      <c r="F3" s="798"/>
      <c r="G3" s="798"/>
      <c r="H3" s="798"/>
    </row>
    <row r="4" spans="1:8" ht="28">
      <c r="A4" s="578" t="s">
        <v>158</v>
      </c>
      <c r="B4" s="579" t="s">
        <v>159</v>
      </c>
      <c r="C4" s="579"/>
      <c r="D4" s="579" t="s">
        <v>32</v>
      </c>
      <c r="E4" s="579" t="s">
        <v>170</v>
      </c>
      <c r="F4" s="578" t="s">
        <v>160</v>
      </c>
      <c r="G4" s="580" t="s">
        <v>161</v>
      </c>
      <c r="H4" s="580" t="s">
        <v>162</v>
      </c>
    </row>
    <row r="5" spans="1:8" ht="15" customHeight="1">
      <c r="A5" s="549">
        <v>1</v>
      </c>
      <c r="B5" s="581" t="s">
        <v>163</v>
      </c>
      <c r="C5" s="582">
        <v>2</v>
      </c>
      <c r="D5" s="568" t="s">
        <v>456</v>
      </c>
      <c r="E5" s="302">
        <v>64</v>
      </c>
      <c r="F5" s="551">
        <v>4</v>
      </c>
      <c r="G5" s="583">
        <f>(F5*E5)</f>
        <v>256</v>
      </c>
      <c r="H5" s="583">
        <f t="shared" ref="H5:H13" si="0">G5/12</f>
        <v>21.333333333333332</v>
      </c>
    </row>
    <row r="6" spans="1:8" ht="15" customHeight="1">
      <c r="A6" s="549">
        <v>2</v>
      </c>
      <c r="B6" s="581" t="s">
        <v>171</v>
      </c>
      <c r="C6" s="582">
        <v>3</v>
      </c>
      <c r="D6" s="568" t="s">
        <v>457</v>
      </c>
      <c r="E6" s="302">
        <v>78</v>
      </c>
      <c r="F6" s="551">
        <v>6</v>
      </c>
      <c r="G6" s="583">
        <f t="shared" ref="G6:G12" si="1">(F6*E6)</f>
        <v>468</v>
      </c>
      <c r="H6" s="583">
        <f t="shared" si="0"/>
        <v>39</v>
      </c>
    </row>
    <row r="7" spans="1:8" ht="15" customHeight="1">
      <c r="A7" s="549">
        <v>3</v>
      </c>
      <c r="B7" s="581" t="s">
        <v>171</v>
      </c>
      <c r="C7" s="582">
        <v>3</v>
      </c>
      <c r="D7" s="568" t="s">
        <v>458</v>
      </c>
      <c r="E7" s="302">
        <v>73</v>
      </c>
      <c r="F7" s="551">
        <v>6</v>
      </c>
      <c r="G7" s="583">
        <f t="shared" si="1"/>
        <v>438</v>
      </c>
      <c r="H7" s="583">
        <f t="shared" si="0"/>
        <v>36.5</v>
      </c>
    </row>
    <row r="8" spans="1:8" ht="15" customHeight="1">
      <c r="A8" s="549">
        <v>4</v>
      </c>
      <c r="B8" s="581" t="s">
        <v>165</v>
      </c>
      <c r="C8" s="582">
        <v>2</v>
      </c>
      <c r="D8" s="568" t="s">
        <v>562</v>
      </c>
      <c r="E8" s="302">
        <v>92</v>
      </c>
      <c r="F8" s="551">
        <v>4</v>
      </c>
      <c r="G8" s="583">
        <f t="shared" si="1"/>
        <v>368</v>
      </c>
      <c r="H8" s="583">
        <f t="shared" si="0"/>
        <v>30.666666666666668</v>
      </c>
    </row>
    <row r="9" spans="1:8" ht="15" customHeight="1">
      <c r="A9" s="549">
        <v>5</v>
      </c>
      <c r="B9" s="581" t="s">
        <v>172</v>
      </c>
      <c r="C9" s="582">
        <v>1</v>
      </c>
      <c r="D9" s="568" t="s">
        <v>173</v>
      </c>
      <c r="E9" s="302">
        <v>70</v>
      </c>
      <c r="F9" s="551">
        <v>2</v>
      </c>
      <c r="G9" s="583">
        <f t="shared" si="1"/>
        <v>140</v>
      </c>
      <c r="H9" s="583">
        <f t="shared" si="0"/>
        <v>11.666666666666666</v>
      </c>
    </row>
    <row r="10" spans="1:8" ht="15" customHeight="1">
      <c r="A10" s="549">
        <v>6</v>
      </c>
      <c r="B10" s="581" t="s">
        <v>166</v>
      </c>
      <c r="C10" s="582">
        <v>3</v>
      </c>
      <c r="D10" s="568" t="s">
        <v>400</v>
      </c>
      <c r="E10" s="302">
        <v>25</v>
      </c>
      <c r="F10" s="551">
        <v>6</v>
      </c>
      <c r="G10" s="583">
        <f t="shared" si="1"/>
        <v>150</v>
      </c>
      <c r="H10" s="583">
        <f t="shared" si="0"/>
        <v>12.5</v>
      </c>
    </row>
    <row r="11" spans="1:8" ht="15" customHeight="1">
      <c r="A11" s="549">
        <v>7</v>
      </c>
      <c r="B11" s="581" t="s">
        <v>174</v>
      </c>
      <c r="C11" s="582">
        <v>1</v>
      </c>
      <c r="D11" s="568" t="s">
        <v>175</v>
      </c>
      <c r="E11" s="302">
        <v>58</v>
      </c>
      <c r="F11" s="551">
        <v>2</v>
      </c>
      <c r="G11" s="583">
        <f t="shared" si="1"/>
        <v>116</v>
      </c>
      <c r="H11" s="583">
        <f t="shared" si="0"/>
        <v>9.6666666666666661</v>
      </c>
    </row>
    <row r="12" spans="1:8" ht="15" customHeight="1">
      <c r="A12" s="549">
        <v>8</v>
      </c>
      <c r="B12" s="581" t="s">
        <v>167</v>
      </c>
      <c r="C12" s="582">
        <v>1</v>
      </c>
      <c r="D12" s="568" t="s">
        <v>168</v>
      </c>
      <c r="E12" s="302">
        <v>150</v>
      </c>
      <c r="F12" s="551">
        <v>2</v>
      </c>
      <c r="G12" s="583">
        <f t="shared" si="1"/>
        <v>300</v>
      </c>
      <c r="H12" s="583">
        <f t="shared" si="0"/>
        <v>25</v>
      </c>
    </row>
    <row r="13" spans="1:8" ht="15" customHeight="1">
      <c r="A13" s="799" t="s">
        <v>169</v>
      </c>
      <c r="B13" s="799"/>
      <c r="C13" s="799"/>
      <c r="D13" s="799"/>
      <c r="E13" s="584"/>
      <c r="F13" s="585"/>
      <c r="G13" s="586">
        <f>SUM(G5:G12)</f>
        <v>2236</v>
      </c>
      <c r="H13" s="586">
        <f t="shared" si="0"/>
        <v>186.33333333333334</v>
      </c>
    </row>
    <row r="14" spans="1:8" ht="15" customHeight="1">
      <c r="A14" s="587"/>
      <c r="B14" s="587"/>
      <c r="C14" s="587"/>
      <c r="D14" s="587"/>
      <c r="E14" s="588"/>
      <c r="F14" s="589"/>
      <c r="G14" s="590"/>
      <c r="H14" s="590"/>
    </row>
    <row r="15" spans="1:8" ht="15" customHeight="1">
      <c r="A15" s="798" t="s">
        <v>559</v>
      </c>
      <c r="B15" s="798"/>
      <c r="C15" s="798"/>
      <c r="D15" s="798"/>
      <c r="E15" s="798"/>
      <c r="F15" s="798"/>
      <c r="G15" s="798"/>
      <c r="H15" s="798"/>
    </row>
    <row r="16" spans="1:8" ht="15" customHeight="1">
      <c r="A16" s="578" t="s">
        <v>158</v>
      </c>
      <c r="B16" s="579" t="s">
        <v>159</v>
      </c>
      <c r="C16" s="579"/>
      <c r="D16" s="579" t="s">
        <v>32</v>
      </c>
      <c r="E16" s="579" t="s">
        <v>170</v>
      </c>
      <c r="F16" s="578" t="s">
        <v>160</v>
      </c>
      <c r="G16" s="580" t="s">
        <v>161</v>
      </c>
      <c r="H16" s="580" t="s">
        <v>162</v>
      </c>
    </row>
    <row r="17" spans="1:9" ht="15" customHeight="1">
      <c r="A17" s="549">
        <v>1</v>
      </c>
      <c r="B17" s="581" t="s">
        <v>163</v>
      </c>
      <c r="C17" s="582">
        <v>2</v>
      </c>
      <c r="D17" s="568" t="s">
        <v>456</v>
      </c>
      <c r="E17" s="302">
        <v>77</v>
      </c>
      <c r="F17" s="551">
        <v>4</v>
      </c>
      <c r="G17" s="583">
        <f>(F17*E17)</f>
        <v>308</v>
      </c>
      <c r="H17" s="583">
        <f t="shared" ref="H17:H25" si="2">G17/12</f>
        <v>25.666666666666668</v>
      </c>
      <c r="I17" s="591"/>
    </row>
    <row r="18" spans="1:9" ht="15" customHeight="1">
      <c r="A18" s="549">
        <v>2</v>
      </c>
      <c r="B18" s="581" t="s">
        <v>171</v>
      </c>
      <c r="C18" s="582">
        <v>3</v>
      </c>
      <c r="D18" s="568" t="s">
        <v>457</v>
      </c>
      <c r="E18" s="302">
        <v>85</v>
      </c>
      <c r="F18" s="551">
        <v>6</v>
      </c>
      <c r="G18" s="583">
        <f t="shared" ref="G18:G24" si="3">(F18*E18)</f>
        <v>510</v>
      </c>
      <c r="H18" s="583">
        <f t="shared" si="2"/>
        <v>42.5</v>
      </c>
      <c r="I18" s="591"/>
    </row>
    <row r="19" spans="1:9" ht="15" customHeight="1">
      <c r="A19" s="549">
        <v>3</v>
      </c>
      <c r="B19" s="581" t="s">
        <v>171</v>
      </c>
      <c r="C19" s="582">
        <v>3</v>
      </c>
      <c r="D19" s="568" t="s">
        <v>458</v>
      </c>
      <c r="E19" s="302">
        <v>93</v>
      </c>
      <c r="F19" s="551">
        <v>6</v>
      </c>
      <c r="G19" s="583">
        <f t="shared" si="3"/>
        <v>558</v>
      </c>
      <c r="H19" s="583">
        <f t="shared" si="2"/>
        <v>46.5</v>
      </c>
      <c r="I19" s="591"/>
    </row>
    <row r="20" spans="1:9" ht="15" customHeight="1">
      <c r="A20" s="549">
        <v>4</v>
      </c>
      <c r="B20" s="581" t="s">
        <v>165</v>
      </c>
      <c r="C20" s="582">
        <v>2</v>
      </c>
      <c r="D20" s="568" t="s">
        <v>563</v>
      </c>
      <c r="E20" s="302">
        <v>120</v>
      </c>
      <c r="F20" s="551">
        <v>4</v>
      </c>
      <c r="G20" s="583">
        <f t="shared" si="3"/>
        <v>480</v>
      </c>
      <c r="H20" s="583">
        <f t="shared" si="2"/>
        <v>40</v>
      </c>
      <c r="I20" s="591"/>
    </row>
    <row r="21" spans="1:9" ht="15" customHeight="1">
      <c r="A21" s="549">
        <v>5</v>
      </c>
      <c r="B21" s="581" t="s">
        <v>172</v>
      </c>
      <c r="C21" s="582">
        <v>1</v>
      </c>
      <c r="D21" s="568" t="s">
        <v>173</v>
      </c>
      <c r="E21" s="302">
        <v>236</v>
      </c>
      <c r="F21" s="551">
        <v>2</v>
      </c>
      <c r="G21" s="583">
        <f t="shared" si="3"/>
        <v>472</v>
      </c>
      <c r="H21" s="583">
        <f t="shared" si="2"/>
        <v>39.333333333333336</v>
      </c>
      <c r="I21" s="591"/>
    </row>
    <row r="22" spans="1:9" ht="15" customHeight="1">
      <c r="A22" s="549">
        <v>6</v>
      </c>
      <c r="B22" s="581" t="s">
        <v>166</v>
      </c>
      <c r="C22" s="582">
        <v>3</v>
      </c>
      <c r="D22" s="568" t="s">
        <v>400</v>
      </c>
      <c r="E22" s="302">
        <v>23</v>
      </c>
      <c r="F22" s="551">
        <v>6</v>
      </c>
      <c r="G22" s="583">
        <f t="shared" si="3"/>
        <v>138</v>
      </c>
      <c r="H22" s="583">
        <f t="shared" si="2"/>
        <v>11.5</v>
      </c>
      <c r="I22" s="591"/>
    </row>
    <row r="23" spans="1:9" ht="15" customHeight="1">
      <c r="A23" s="549">
        <v>7</v>
      </c>
      <c r="B23" s="581" t="s">
        <v>174</v>
      </c>
      <c r="C23" s="582">
        <v>1</v>
      </c>
      <c r="D23" s="568" t="s">
        <v>175</v>
      </c>
      <c r="E23" s="302">
        <v>35</v>
      </c>
      <c r="F23" s="551">
        <v>2</v>
      </c>
      <c r="G23" s="583">
        <f t="shared" si="3"/>
        <v>70</v>
      </c>
      <c r="H23" s="583">
        <f t="shared" si="2"/>
        <v>5.833333333333333</v>
      </c>
      <c r="I23" s="591"/>
    </row>
    <row r="24" spans="1:9" ht="15" customHeight="1">
      <c r="A24" s="549">
        <v>8</v>
      </c>
      <c r="B24" s="581" t="s">
        <v>167</v>
      </c>
      <c r="C24" s="582">
        <v>1</v>
      </c>
      <c r="D24" s="568" t="s">
        <v>168</v>
      </c>
      <c r="E24" s="302">
        <v>113</v>
      </c>
      <c r="F24" s="551">
        <v>2</v>
      </c>
      <c r="G24" s="583">
        <f t="shared" si="3"/>
        <v>226</v>
      </c>
      <c r="H24" s="583">
        <f t="shared" si="2"/>
        <v>18.833333333333332</v>
      </c>
      <c r="I24" s="591"/>
    </row>
    <row r="25" spans="1:9" ht="15" customHeight="1">
      <c r="A25" s="799" t="s">
        <v>169</v>
      </c>
      <c r="B25" s="799"/>
      <c r="C25" s="799"/>
      <c r="D25" s="799"/>
      <c r="E25" s="584"/>
      <c r="F25" s="585"/>
      <c r="G25" s="586">
        <f>SUM(G17:G24)</f>
        <v>2762</v>
      </c>
      <c r="H25" s="586">
        <f t="shared" si="2"/>
        <v>230.16666666666666</v>
      </c>
      <c r="I25" s="591"/>
    </row>
    <row r="26" spans="1:9" ht="15" customHeight="1">
      <c r="A26" s="587"/>
      <c r="B26" s="587"/>
      <c r="C26" s="587"/>
      <c r="D26" s="587"/>
      <c r="E26" s="588"/>
      <c r="F26" s="589"/>
      <c r="G26" s="590"/>
      <c r="H26" s="590"/>
    </row>
    <row r="27" spans="1:9" ht="15" customHeight="1">
      <c r="A27" s="798" t="s">
        <v>511</v>
      </c>
      <c r="B27" s="798"/>
      <c r="C27" s="798"/>
      <c r="D27" s="798"/>
      <c r="E27" s="798"/>
      <c r="F27" s="798"/>
      <c r="G27" s="798"/>
      <c r="H27" s="798"/>
    </row>
    <row r="28" spans="1:9" s="543" customFormat="1" ht="28">
      <c r="A28" s="592" t="s">
        <v>158</v>
      </c>
      <c r="B28" s="593" t="s">
        <v>159</v>
      </c>
      <c r="C28" s="593"/>
      <c r="D28" s="593" t="s">
        <v>32</v>
      </c>
      <c r="E28" s="593" t="s">
        <v>170</v>
      </c>
      <c r="F28" s="592" t="s">
        <v>160</v>
      </c>
      <c r="G28" s="594" t="s">
        <v>161</v>
      </c>
      <c r="H28" s="594" t="s">
        <v>162</v>
      </c>
      <c r="I28"/>
    </row>
    <row r="29" spans="1:9" s="543" customFormat="1" ht="15" customHeight="1">
      <c r="A29" s="549">
        <v>1</v>
      </c>
      <c r="B29" s="581" t="s">
        <v>163</v>
      </c>
      <c r="C29" s="582">
        <v>2</v>
      </c>
      <c r="D29" s="568" t="s">
        <v>456</v>
      </c>
      <c r="E29" s="302">
        <v>77</v>
      </c>
      <c r="F29" s="551">
        <v>4</v>
      </c>
      <c r="G29" s="595">
        <f>(F29*E29)</f>
        <v>308</v>
      </c>
      <c r="H29" s="595">
        <f t="shared" ref="H29:H37" si="4">G29/12</f>
        <v>25.666666666666668</v>
      </c>
      <c r="I29" s="596"/>
    </row>
    <row r="30" spans="1:9" s="543" customFormat="1" ht="15" customHeight="1">
      <c r="A30" s="549">
        <v>2</v>
      </c>
      <c r="B30" s="581" t="s">
        <v>171</v>
      </c>
      <c r="C30" s="582">
        <v>3</v>
      </c>
      <c r="D30" s="568" t="s">
        <v>457</v>
      </c>
      <c r="E30" s="302">
        <v>85</v>
      </c>
      <c r="F30" s="551">
        <v>6</v>
      </c>
      <c r="G30" s="595">
        <f t="shared" ref="G30:G36" si="5">(F30*E30)</f>
        <v>510</v>
      </c>
      <c r="H30" s="595">
        <f t="shared" si="4"/>
        <v>42.5</v>
      </c>
      <c r="I30" s="591"/>
    </row>
    <row r="31" spans="1:9" s="543" customFormat="1" ht="15" customHeight="1">
      <c r="A31" s="549">
        <v>3</v>
      </c>
      <c r="B31" s="581" t="s">
        <v>171</v>
      </c>
      <c r="C31" s="582">
        <v>3</v>
      </c>
      <c r="D31" s="568" t="s">
        <v>458</v>
      </c>
      <c r="E31" s="302">
        <v>93</v>
      </c>
      <c r="F31" s="551">
        <v>6</v>
      </c>
      <c r="G31" s="595">
        <f t="shared" si="5"/>
        <v>558</v>
      </c>
      <c r="H31" s="595">
        <f t="shared" si="4"/>
        <v>46.5</v>
      </c>
      <c r="I31" s="591"/>
    </row>
    <row r="32" spans="1:9" s="543" customFormat="1" ht="15" customHeight="1">
      <c r="A32" s="549">
        <v>4</v>
      </c>
      <c r="B32" s="581" t="s">
        <v>165</v>
      </c>
      <c r="C32" s="582">
        <v>2</v>
      </c>
      <c r="D32" s="568" t="s">
        <v>563</v>
      </c>
      <c r="E32" s="302">
        <v>120</v>
      </c>
      <c r="F32" s="551">
        <v>4</v>
      </c>
      <c r="G32" s="595">
        <f t="shared" si="5"/>
        <v>480</v>
      </c>
      <c r="H32" s="595">
        <f t="shared" si="4"/>
        <v>40</v>
      </c>
      <c r="I32" s="591"/>
    </row>
    <row r="33" spans="1:11" s="543" customFormat="1" ht="15" customHeight="1">
      <c r="A33" s="549">
        <v>5</v>
      </c>
      <c r="B33" s="581" t="s">
        <v>172</v>
      </c>
      <c r="C33" s="582">
        <v>1</v>
      </c>
      <c r="D33" s="568" t="s">
        <v>173</v>
      </c>
      <c r="E33" s="302">
        <v>236</v>
      </c>
      <c r="F33" s="551">
        <v>2</v>
      </c>
      <c r="G33" s="595">
        <f t="shared" si="5"/>
        <v>472</v>
      </c>
      <c r="H33" s="595">
        <f t="shared" si="4"/>
        <v>39.333333333333336</v>
      </c>
      <c r="I33" s="591"/>
    </row>
    <row r="34" spans="1:11" s="543" customFormat="1" ht="15" customHeight="1">
      <c r="A34" s="549">
        <v>6</v>
      </c>
      <c r="B34" s="581" t="s">
        <v>166</v>
      </c>
      <c r="C34" s="582">
        <v>3</v>
      </c>
      <c r="D34" s="568" t="s">
        <v>400</v>
      </c>
      <c r="E34" s="302">
        <v>23</v>
      </c>
      <c r="F34" s="551">
        <v>6</v>
      </c>
      <c r="G34" s="595">
        <f t="shared" si="5"/>
        <v>138</v>
      </c>
      <c r="H34" s="595">
        <f t="shared" si="4"/>
        <v>11.5</v>
      </c>
      <c r="I34" s="591"/>
    </row>
    <row r="35" spans="1:11" s="543" customFormat="1" ht="15" customHeight="1">
      <c r="A35" s="549">
        <v>7</v>
      </c>
      <c r="B35" s="581" t="s">
        <v>174</v>
      </c>
      <c r="C35" s="582">
        <v>1</v>
      </c>
      <c r="D35" s="568" t="s">
        <v>175</v>
      </c>
      <c r="E35" s="302">
        <v>35</v>
      </c>
      <c r="F35" s="551">
        <v>2</v>
      </c>
      <c r="G35" s="595">
        <f t="shared" si="5"/>
        <v>70</v>
      </c>
      <c r="H35" s="595">
        <f t="shared" si="4"/>
        <v>5.833333333333333</v>
      </c>
      <c r="I35" s="591"/>
    </row>
    <row r="36" spans="1:11" s="543" customFormat="1" ht="15" customHeight="1">
      <c r="A36" s="549">
        <v>8</v>
      </c>
      <c r="B36" s="581" t="s">
        <v>167</v>
      </c>
      <c r="C36" s="582">
        <v>1</v>
      </c>
      <c r="D36" s="568" t="s">
        <v>168</v>
      </c>
      <c r="E36" s="302">
        <v>113</v>
      </c>
      <c r="F36" s="551">
        <v>2</v>
      </c>
      <c r="G36" s="595">
        <f t="shared" si="5"/>
        <v>226</v>
      </c>
      <c r="H36" s="595">
        <f t="shared" si="4"/>
        <v>18.833333333333332</v>
      </c>
      <c r="I36" s="591"/>
    </row>
    <row r="37" spans="1:11" ht="15" customHeight="1">
      <c r="A37" s="799" t="s">
        <v>169</v>
      </c>
      <c r="B37" s="799"/>
      <c r="C37" s="799"/>
      <c r="D37" s="799"/>
      <c r="E37" s="584"/>
      <c r="F37" s="585"/>
      <c r="G37" s="586">
        <f>SUM(G29:G36)</f>
        <v>2762</v>
      </c>
      <c r="H37" s="586">
        <f t="shared" si="4"/>
        <v>230.16666666666666</v>
      </c>
      <c r="I37" s="591"/>
    </row>
    <row r="38" spans="1:11" ht="15" customHeight="1" thickBot="1">
      <c r="A38" s="587"/>
      <c r="B38" s="587"/>
      <c r="C38" s="587"/>
      <c r="D38" s="587"/>
      <c r="E38" s="588"/>
      <c r="F38" s="589"/>
      <c r="G38" s="590"/>
      <c r="H38" s="590"/>
    </row>
    <row r="39" spans="1:11" ht="15" customHeight="1" thickBot="1">
      <c r="A39" s="801" t="s">
        <v>176</v>
      </c>
      <c r="B39" s="801"/>
      <c r="C39" s="801"/>
      <c r="D39" s="801"/>
      <c r="E39" s="801"/>
      <c r="F39" s="801"/>
      <c r="G39" s="801"/>
      <c r="H39" s="801"/>
    </row>
    <row r="40" spans="1:11" ht="26.25" customHeight="1">
      <c r="A40" s="597" t="s">
        <v>158</v>
      </c>
      <c r="B40" s="598" t="s">
        <v>159</v>
      </c>
      <c r="C40" s="598"/>
      <c r="D40" s="598" t="s">
        <v>32</v>
      </c>
      <c r="E40" s="598" t="s">
        <v>170</v>
      </c>
      <c r="F40" s="597" t="s">
        <v>160</v>
      </c>
      <c r="G40" s="599" t="s">
        <v>161</v>
      </c>
      <c r="H40" s="599" t="s">
        <v>162</v>
      </c>
    </row>
    <row r="41" spans="1:11" ht="15" customHeight="1">
      <c r="A41" s="549">
        <v>1</v>
      </c>
      <c r="B41" s="581" t="s">
        <v>163</v>
      </c>
      <c r="C41" s="600">
        <v>3</v>
      </c>
      <c r="D41" s="568" t="s">
        <v>461</v>
      </c>
      <c r="E41" s="302">
        <v>108</v>
      </c>
      <c r="F41" s="551">
        <v>6</v>
      </c>
      <c r="G41" s="583">
        <f>(F41*E41)</f>
        <v>648</v>
      </c>
      <c r="H41" s="583">
        <f t="shared" ref="H41:H48" si="6">G41/12</f>
        <v>54</v>
      </c>
      <c r="K41" s="591"/>
    </row>
    <row r="42" spans="1:11" ht="15" customHeight="1">
      <c r="A42" s="549">
        <v>2</v>
      </c>
      <c r="B42" s="581" t="s">
        <v>164</v>
      </c>
      <c r="C42" s="600">
        <v>3</v>
      </c>
      <c r="D42" s="568" t="s">
        <v>459</v>
      </c>
      <c r="E42" s="302">
        <v>50</v>
      </c>
      <c r="F42" s="551">
        <v>6</v>
      </c>
      <c r="G42" s="583">
        <f t="shared" ref="G42:G47" si="7">(F42*E42)</f>
        <v>300</v>
      </c>
      <c r="H42" s="583">
        <f t="shared" si="6"/>
        <v>25</v>
      </c>
      <c r="K42" s="591"/>
    </row>
    <row r="43" spans="1:11" ht="15" customHeight="1">
      <c r="A43" s="549">
        <v>3</v>
      </c>
      <c r="B43" s="581" t="s">
        <v>164</v>
      </c>
      <c r="C43" s="600">
        <v>3</v>
      </c>
      <c r="D43" s="568" t="s">
        <v>460</v>
      </c>
      <c r="E43" s="302">
        <v>48</v>
      </c>
      <c r="F43" s="551">
        <v>6</v>
      </c>
      <c r="G43" s="583">
        <f t="shared" si="7"/>
        <v>288</v>
      </c>
      <c r="H43" s="583">
        <f t="shared" si="6"/>
        <v>24</v>
      </c>
      <c r="K43" s="591"/>
    </row>
    <row r="44" spans="1:11" ht="15" customHeight="1">
      <c r="A44" s="549">
        <v>4</v>
      </c>
      <c r="B44" s="581" t="s">
        <v>165</v>
      </c>
      <c r="C44" s="600">
        <v>2</v>
      </c>
      <c r="D44" s="568" t="s">
        <v>462</v>
      </c>
      <c r="E44" s="302">
        <v>92</v>
      </c>
      <c r="F44" s="551">
        <v>4</v>
      </c>
      <c r="G44" s="583">
        <f t="shared" si="7"/>
        <v>368</v>
      </c>
      <c r="H44" s="583">
        <f t="shared" si="6"/>
        <v>30.666666666666668</v>
      </c>
      <c r="K44" s="591"/>
    </row>
    <row r="45" spans="1:11" ht="30" customHeight="1">
      <c r="A45" s="549">
        <v>5</v>
      </c>
      <c r="B45" s="581" t="s">
        <v>177</v>
      </c>
      <c r="C45" s="600">
        <v>2</v>
      </c>
      <c r="D45" s="601" t="s">
        <v>595</v>
      </c>
      <c r="E45" s="302">
        <v>44</v>
      </c>
      <c r="F45" s="551">
        <v>4</v>
      </c>
      <c r="G45" s="583">
        <f t="shared" si="7"/>
        <v>176</v>
      </c>
      <c r="H45" s="583">
        <f t="shared" si="6"/>
        <v>14.666666666666666</v>
      </c>
      <c r="K45" s="591"/>
    </row>
    <row r="46" spans="1:11" ht="15" customHeight="1">
      <c r="A46" s="549">
        <v>6</v>
      </c>
      <c r="B46" s="581" t="s">
        <v>166</v>
      </c>
      <c r="C46" s="600">
        <v>3</v>
      </c>
      <c r="D46" s="602" t="s">
        <v>178</v>
      </c>
      <c r="E46" s="302">
        <v>25</v>
      </c>
      <c r="F46" s="551">
        <v>6</v>
      </c>
      <c r="G46" s="583">
        <f t="shared" si="7"/>
        <v>150</v>
      </c>
      <c r="H46" s="583">
        <f t="shared" si="6"/>
        <v>12.5</v>
      </c>
      <c r="K46" s="591"/>
    </row>
    <row r="47" spans="1:11" ht="29.25" customHeight="1">
      <c r="A47" s="549">
        <v>7</v>
      </c>
      <c r="B47" s="581" t="s">
        <v>465</v>
      </c>
      <c r="C47" s="600">
        <v>1</v>
      </c>
      <c r="D47" s="603" t="s">
        <v>463</v>
      </c>
      <c r="E47" s="302">
        <v>103.63</v>
      </c>
      <c r="F47" s="551">
        <v>2</v>
      </c>
      <c r="G47" s="583">
        <f t="shared" si="7"/>
        <v>207.26</v>
      </c>
      <c r="H47" s="583">
        <f t="shared" si="6"/>
        <v>17.271666666666665</v>
      </c>
      <c r="K47" s="591"/>
    </row>
    <row r="48" spans="1:11" ht="15" customHeight="1" thickBot="1">
      <c r="A48" s="800" t="s">
        <v>297</v>
      </c>
      <c r="B48" s="800"/>
      <c r="C48" s="800"/>
      <c r="D48" s="800"/>
      <c r="E48" s="604"/>
      <c r="F48" s="605"/>
      <c r="G48" s="606">
        <f>SUM(G41:G47)</f>
        <v>2137.2600000000002</v>
      </c>
      <c r="H48" s="606">
        <f t="shared" si="6"/>
        <v>178.10500000000002</v>
      </c>
      <c r="K48" s="591"/>
    </row>
    <row r="49" spans="1:9" s="132" customFormat="1" ht="15" customHeight="1" thickBot="1">
      <c r="A49" s="607"/>
      <c r="B49" s="607"/>
      <c r="C49" s="608"/>
      <c r="D49" s="607"/>
      <c r="E49" s="607"/>
      <c r="F49" s="607"/>
      <c r="G49" s="609"/>
      <c r="H49" s="610"/>
    </row>
    <row r="50" spans="1:9" ht="15" customHeight="1" thickBot="1">
      <c r="A50" s="801" t="s">
        <v>430</v>
      </c>
      <c r="B50" s="801"/>
      <c r="C50" s="801"/>
      <c r="D50" s="801"/>
      <c r="E50" s="801"/>
      <c r="F50" s="801"/>
      <c r="G50" s="801"/>
      <c r="H50" s="801"/>
    </row>
    <row r="51" spans="1:9" ht="26.25" customHeight="1">
      <c r="A51" s="597" t="s">
        <v>158</v>
      </c>
      <c r="B51" s="598" t="s">
        <v>159</v>
      </c>
      <c r="C51" s="598"/>
      <c r="D51" s="598" t="s">
        <v>32</v>
      </c>
      <c r="E51" s="598" t="s">
        <v>170</v>
      </c>
      <c r="F51" s="597" t="s">
        <v>160</v>
      </c>
      <c r="G51" s="599" t="s">
        <v>161</v>
      </c>
      <c r="H51" s="599" t="s">
        <v>162</v>
      </c>
      <c r="I51" s="591"/>
    </row>
    <row r="52" spans="1:9" ht="15" customHeight="1">
      <c r="A52" s="549">
        <v>1</v>
      </c>
      <c r="B52" s="581" t="s">
        <v>163</v>
      </c>
      <c r="C52" s="600">
        <v>2</v>
      </c>
      <c r="D52" s="568" t="s">
        <v>560</v>
      </c>
      <c r="E52" s="296">
        <v>75</v>
      </c>
      <c r="F52" s="551">
        <v>4</v>
      </c>
      <c r="G52" s="595">
        <f>(F52*E52)</f>
        <v>300</v>
      </c>
      <c r="H52" s="595">
        <f t="shared" ref="H52:H59" si="8">G52/12</f>
        <v>25</v>
      </c>
      <c r="I52" s="591"/>
    </row>
    <row r="53" spans="1:9" ht="15" customHeight="1">
      <c r="A53" s="549">
        <v>2</v>
      </c>
      <c r="B53" s="581" t="s">
        <v>165</v>
      </c>
      <c r="C53" s="600">
        <v>2</v>
      </c>
      <c r="D53" s="568" t="s">
        <v>561</v>
      </c>
      <c r="E53" s="296">
        <v>120</v>
      </c>
      <c r="F53" s="551">
        <v>4</v>
      </c>
      <c r="G53" s="595">
        <f>(F53*E53)</f>
        <v>480</v>
      </c>
      <c r="H53" s="595">
        <f t="shared" si="8"/>
        <v>40</v>
      </c>
      <c r="I53" s="591"/>
    </row>
    <row r="54" spans="1:9" ht="15" customHeight="1">
      <c r="A54" s="549">
        <v>3</v>
      </c>
      <c r="B54" s="581" t="s">
        <v>467</v>
      </c>
      <c r="C54" s="600">
        <v>1</v>
      </c>
      <c r="D54" s="602" t="s">
        <v>540</v>
      </c>
      <c r="E54" s="296">
        <v>150</v>
      </c>
      <c r="F54" s="551">
        <v>2</v>
      </c>
      <c r="G54" s="595">
        <f>(F54*E54)</f>
        <v>300</v>
      </c>
      <c r="H54" s="595">
        <f>G54/12</f>
        <v>25</v>
      </c>
      <c r="I54" s="591"/>
    </row>
    <row r="55" spans="1:9" ht="15" customHeight="1">
      <c r="A55" s="549">
        <v>4</v>
      </c>
      <c r="B55" s="581" t="s">
        <v>166</v>
      </c>
      <c r="C55" s="600">
        <v>3</v>
      </c>
      <c r="D55" s="602" t="s">
        <v>400</v>
      </c>
      <c r="E55" s="296">
        <v>23</v>
      </c>
      <c r="F55" s="551">
        <v>6</v>
      </c>
      <c r="G55" s="595">
        <f>(F55*E55)</f>
        <v>138</v>
      </c>
      <c r="H55" s="595">
        <f t="shared" si="8"/>
        <v>11.5</v>
      </c>
      <c r="I55" s="591"/>
    </row>
    <row r="56" spans="1:9" ht="15" customHeight="1">
      <c r="A56" s="549">
        <v>5</v>
      </c>
      <c r="B56" s="581" t="s">
        <v>465</v>
      </c>
      <c r="C56" s="600">
        <v>1</v>
      </c>
      <c r="D56" s="603" t="s">
        <v>541</v>
      </c>
      <c r="E56" s="296">
        <v>48</v>
      </c>
      <c r="F56" s="551">
        <v>2</v>
      </c>
      <c r="G56" s="583">
        <f t="shared" ref="G56:G58" si="9">(F56*E56)</f>
        <v>96</v>
      </c>
      <c r="H56" s="583">
        <f t="shared" si="8"/>
        <v>8</v>
      </c>
      <c r="I56" s="591"/>
    </row>
    <row r="57" spans="1:9" ht="15" customHeight="1">
      <c r="A57" s="549">
        <v>6</v>
      </c>
      <c r="B57" s="581" t="s">
        <v>171</v>
      </c>
      <c r="C57" s="600">
        <v>3</v>
      </c>
      <c r="D57" s="568" t="s">
        <v>464</v>
      </c>
      <c r="E57" s="296">
        <v>45</v>
      </c>
      <c r="F57" s="551">
        <v>6</v>
      </c>
      <c r="G57" s="583">
        <f t="shared" si="9"/>
        <v>270</v>
      </c>
      <c r="H57" s="583">
        <f t="shared" si="8"/>
        <v>22.5</v>
      </c>
      <c r="I57" s="591"/>
    </row>
    <row r="58" spans="1:9" ht="15" customHeight="1">
      <c r="A58" s="549">
        <v>7</v>
      </c>
      <c r="B58" s="581" t="s">
        <v>171</v>
      </c>
      <c r="C58" s="600">
        <v>3</v>
      </c>
      <c r="D58" s="568" t="s">
        <v>466</v>
      </c>
      <c r="E58" s="296">
        <v>51</v>
      </c>
      <c r="F58" s="551">
        <v>6</v>
      </c>
      <c r="G58" s="583">
        <f t="shared" si="9"/>
        <v>306</v>
      </c>
      <c r="H58" s="583">
        <f t="shared" si="8"/>
        <v>25.5</v>
      </c>
      <c r="I58" s="591"/>
    </row>
    <row r="59" spans="1:9" ht="15" customHeight="1" thickBot="1">
      <c r="A59" s="800" t="s">
        <v>297</v>
      </c>
      <c r="B59" s="800"/>
      <c r="C59" s="800"/>
      <c r="D59" s="800"/>
      <c r="E59" s="604"/>
      <c r="F59" s="605"/>
      <c r="G59" s="606">
        <f>SUM(G52:G58)</f>
        <v>1890</v>
      </c>
      <c r="H59" s="606">
        <f t="shared" si="8"/>
        <v>157.5</v>
      </c>
    </row>
    <row r="60" spans="1:9" s="132" customFormat="1" ht="13.5" customHeight="1">
      <c r="A60" s="574"/>
      <c r="B60" s="574"/>
      <c r="C60" s="573"/>
      <c r="D60" s="574"/>
      <c r="E60" s="574"/>
      <c r="F60" s="574"/>
      <c r="G60" s="574"/>
      <c r="H60" s="574"/>
    </row>
    <row r="61" spans="1:9" s="132" customFormat="1" ht="14">
      <c r="A61" s="574"/>
      <c r="B61" s="574"/>
      <c r="C61" s="573"/>
      <c r="D61" s="574"/>
      <c r="E61" s="574"/>
      <c r="F61" s="574"/>
      <c r="G61" s="574"/>
      <c r="H61" s="574"/>
    </row>
    <row r="62" spans="1:9" s="132" customFormat="1" ht="14">
      <c r="A62" s="574"/>
      <c r="B62" s="574"/>
      <c r="C62" s="573"/>
      <c r="D62" s="574"/>
      <c r="E62" s="574"/>
      <c r="F62" s="574"/>
      <c r="G62" s="574"/>
      <c r="H62" s="574"/>
    </row>
    <row r="63" spans="1:9" s="132" customFormat="1" ht="14">
      <c r="A63" s="574"/>
      <c r="B63" s="574"/>
      <c r="C63" s="573"/>
      <c r="D63" s="574"/>
      <c r="E63" s="574"/>
      <c r="F63" s="574"/>
      <c r="G63" s="574"/>
      <c r="H63" s="574"/>
    </row>
    <row r="64" spans="1:9" s="132" customFormat="1" ht="14">
      <c r="A64" s="574"/>
      <c r="B64" s="574"/>
      <c r="C64" s="573"/>
      <c r="D64" s="574"/>
      <c r="E64" s="574"/>
      <c r="F64" s="574"/>
      <c r="G64" s="574"/>
      <c r="H64" s="574"/>
    </row>
    <row r="65" spans="1:8" s="132" customFormat="1" ht="14">
      <c r="A65" s="574"/>
      <c r="B65" s="574"/>
      <c r="C65" s="573"/>
      <c r="D65" s="574"/>
      <c r="E65" s="574"/>
      <c r="F65" s="574"/>
      <c r="G65" s="574"/>
      <c r="H65" s="574"/>
    </row>
    <row r="66" spans="1:8" s="132" customFormat="1" ht="14">
      <c r="A66" s="574"/>
      <c r="B66" s="574"/>
      <c r="C66" s="573"/>
      <c r="D66" s="574"/>
      <c r="E66" s="574"/>
      <c r="F66" s="574"/>
      <c r="G66" s="574"/>
      <c r="H66" s="574"/>
    </row>
    <row r="67" spans="1:8" s="132" customFormat="1" ht="14">
      <c r="A67" s="574"/>
      <c r="B67" s="574"/>
      <c r="C67" s="573"/>
      <c r="D67" s="574"/>
      <c r="E67" s="574"/>
      <c r="F67" s="574"/>
      <c r="G67" s="574"/>
      <c r="H67" s="574"/>
    </row>
    <row r="68" spans="1:8" s="132" customFormat="1" ht="14">
      <c r="A68" s="574"/>
      <c r="B68" s="574"/>
      <c r="C68" s="573"/>
      <c r="D68" s="574"/>
      <c r="E68" s="574"/>
      <c r="F68" s="574"/>
      <c r="G68" s="574"/>
      <c r="H68" s="574"/>
    </row>
    <row r="69" spans="1:8" s="132" customFormat="1" ht="14">
      <c r="A69" s="574"/>
      <c r="B69" s="574"/>
      <c r="C69" s="573"/>
      <c r="D69" s="574"/>
      <c r="E69" s="574"/>
      <c r="F69" s="574"/>
      <c r="G69" s="574"/>
      <c r="H69" s="574"/>
    </row>
    <row r="70" spans="1:8" s="132" customFormat="1" ht="14">
      <c r="A70" s="574"/>
      <c r="B70" s="574"/>
      <c r="C70" s="573"/>
      <c r="D70" s="574"/>
      <c r="E70" s="574"/>
      <c r="F70" s="574"/>
      <c r="G70" s="574"/>
      <c r="H70" s="574"/>
    </row>
    <row r="71" spans="1:8" s="132" customFormat="1" ht="14">
      <c r="A71" s="574"/>
      <c r="B71" s="574"/>
      <c r="C71" s="573"/>
      <c r="D71" s="574"/>
      <c r="E71" s="574"/>
      <c r="F71" s="574"/>
      <c r="G71" s="574"/>
      <c r="H71" s="574"/>
    </row>
    <row r="72" spans="1:8" s="132" customFormat="1" ht="14">
      <c r="A72" s="574"/>
      <c r="B72" s="574"/>
      <c r="C72" s="573"/>
      <c r="D72" s="574"/>
      <c r="E72" s="574"/>
      <c r="F72" s="574"/>
      <c r="G72" s="574"/>
      <c r="H72" s="574"/>
    </row>
    <row r="73" spans="1:8" s="132" customFormat="1" ht="14">
      <c r="A73" s="574"/>
      <c r="B73" s="574"/>
      <c r="C73" s="573"/>
      <c r="D73" s="574"/>
      <c r="E73" s="574"/>
      <c r="F73" s="574"/>
      <c r="G73" s="574"/>
      <c r="H73" s="574"/>
    </row>
    <row r="74" spans="1:8" s="132" customFormat="1" ht="14">
      <c r="A74" s="574"/>
      <c r="B74" s="574"/>
      <c r="C74" s="573"/>
      <c r="D74" s="574"/>
      <c r="E74" s="574"/>
      <c r="F74" s="574"/>
      <c r="G74" s="574"/>
      <c r="H74" s="574"/>
    </row>
    <row r="75" spans="1:8" s="132" customFormat="1" ht="14">
      <c r="A75" s="574"/>
      <c r="B75" s="574"/>
      <c r="C75" s="573"/>
      <c r="D75" s="574"/>
      <c r="E75" s="574"/>
      <c r="F75" s="574"/>
      <c r="G75" s="574"/>
      <c r="H75" s="574"/>
    </row>
    <row r="76" spans="1:8" s="132" customFormat="1" ht="14">
      <c r="A76" s="574"/>
      <c r="B76" s="574"/>
      <c r="C76" s="573"/>
      <c r="D76" s="574"/>
      <c r="E76" s="574"/>
      <c r="F76" s="574"/>
      <c r="G76" s="574"/>
      <c r="H76" s="574"/>
    </row>
    <row r="77" spans="1:8" s="132" customFormat="1" ht="14">
      <c r="A77" s="574"/>
      <c r="B77" s="574"/>
      <c r="C77" s="573"/>
      <c r="D77" s="574"/>
      <c r="E77" s="574"/>
      <c r="F77" s="574"/>
      <c r="G77" s="574"/>
      <c r="H77" s="574"/>
    </row>
    <row r="78" spans="1:8" s="132" customFormat="1" ht="14">
      <c r="A78" s="574"/>
      <c r="B78" s="574"/>
      <c r="C78" s="573"/>
      <c r="D78" s="574"/>
      <c r="E78" s="574"/>
      <c r="F78" s="574"/>
      <c r="G78" s="574"/>
      <c r="H78" s="574"/>
    </row>
    <row r="79" spans="1:8" s="132" customFormat="1" ht="14">
      <c r="A79" s="574"/>
      <c r="B79" s="574"/>
      <c r="C79" s="573"/>
      <c r="D79" s="574"/>
      <c r="E79" s="574"/>
      <c r="F79" s="574"/>
      <c r="G79" s="574"/>
      <c r="H79" s="574"/>
    </row>
    <row r="80" spans="1:8" s="132" customFormat="1" ht="14">
      <c r="A80" s="574"/>
      <c r="B80" s="574"/>
      <c r="C80" s="573"/>
      <c r="D80" s="574"/>
      <c r="E80" s="574"/>
      <c r="F80" s="574"/>
      <c r="G80" s="574"/>
      <c r="H80" s="574"/>
    </row>
    <row r="81" spans="1:8" s="132" customFormat="1" ht="14">
      <c r="A81" s="574"/>
      <c r="B81" s="574"/>
      <c r="C81" s="573"/>
      <c r="D81" s="574"/>
      <c r="E81" s="574"/>
      <c r="F81" s="574"/>
      <c r="G81" s="574"/>
      <c r="H81" s="574"/>
    </row>
    <row r="82" spans="1:8" s="132" customFormat="1" ht="14">
      <c r="A82" s="574"/>
      <c r="B82" s="574"/>
      <c r="C82" s="573"/>
      <c r="D82" s="574"/>
      <c r="E82" s="574"/>
      <c r="F82" s="574"/>
      <c r="G82" s="574"/>
      <c r="H82" s="574"/>
    </row>
    <row r="83" spans="1:8" s="132" customFormat="1" ht="14">
      <c r="A83" s="574"/>
      <c r="B83" s="574"/>
      <c r="C83" s="573"/>
      <c r="D83" s="574"/>
      <c r="E83" s="574"/>
      <c r="F83" s="574"/>
      <c r="G83" s="574"/>
      <c r="H83" s="574"/>
    </row>
    <row r="84" spans="1:8" s="132" customFormat="1" ht="14">
      <c r="A84" s="574"/>
      <c r="B84" s="574"/>
      <c r="C84" s="573"/>
      <c r="D84" s="574"/>
      <c r="E84" s="574"/>
      <c r="F84" s="574"/>
      <c r="G84" s="574"/>
      <c r="H84" s="574"/>
    </row>
    <row r="85" spans="1:8" s="132" customFormat="1" ht="14">
      <c r="A85" s="574"/>
      <c r="B85" s="574"/>
      <c r="C85" s="573"/>
      <c r="D85" s="574"/>
      <c r="E85" s="574"/>
      <c r="F85" s="574"/>
      <c r="G85" s="574"/>
      <c r="H85" s="574"/>
    </row>
    <row r="86" spans="1:8" s="132" customFormat="1" ht="14">
      <c r="A86" s="574"/>
      <c r="B86" s="574"/>
      <c r="C86" s="573"/>
      <c r="D86" s="574"/>
      <c r="E86" s="574"/>
      <c r="F86" s="574"/>
      <c r="G86" s="574"/>
      <c r="H86" s="574"/>
    </row>
    <row r="87" spans="1:8" s="132" customFormat="1" ht="14">
      <c r="A87" s="574"/>
      <c r="B87" s="574"/>
      <c r="C87" s="573"/>
      <c r="D87" s="574"/>
      <c r="E87" s="574"/>
      <c r="F87" s="574"/>
      <c r="G87" s="574"/>
      <c r="H87" s="574"/>
    </row>
    <row r="88" spans="1:8" s="132" customFormat="1" ht="14">
      <c r="A88" s="574"/>
      <c r="B88" s="574"/>
      <c r="C88" s="573"/>
      <c r="D88" s="574"/>
      <c r="E88" s="574"/>
      <c r="F88" s="574"/>
      <c r="G88" s="574"/>
      <c r="H88" s="574"/>
    </row>
    <row r="89" spans="1:8" s="132" customFormat="1" ht="14">
      <c r="A89" s="574"/>
      <c r="B89" s="574"/>
      <c r="C89" s="573"/>
      <c r="D89" s="574"/>
      <c r="E89" s="574"/>
      <c r="F89" s="574"/>
      <c r="G89" s="574"/>
      <c r="H89" s="574"/>
    </row>
    <row r="90" spans="1:8" s="132" customFormat="1" ht="14">
      <c r="A90" s="574"/>
      <c r="B90" s="574"/>
      <c r="C90" s="573"/>
      <c r="D90" s="574"/>
      <c r="E90" s="574"/>
      <c r="F90" s="574"/>
      <c r="G90" s="574"/>
      <c r="H90" s="574"/>
    </row>
    <row r="91" spans="1:8" s="132" customFormat="1" ht="14">
      <c r="A91" s="574"/>
      <c r="B91" s="574"/>
      <c r="C91" s="573"/>
      <c r="D91" s="574"/>
      <c r="E91" s="574"/>
      <c r="F91" s="574"/>
      <c r="G91" s="574"/>
      <c r="H91" s="574"/>
    </row>
    <row r="92" spans="1:8" s="132" customFormat="1" ht="14">
      <c r="A92" s="574"/>
      <c r="B92" s="574"/>
      <c r="C92" s="573"/>
      <c r="D92" s="574"/>
      <c r="E92" s="574"/>
      <c r="F92" s="574"/>
      <c r="G92" s="574"/>
      <c r="H92" s="574"/>
    </row>
    <row r="93" spans="1:8" s="132" customFormat="1" ht="14">
      <c r="A93" s="574"/>
      <c r="B93" s="574"/>
      <c r="C93" s="573"/>
      <c r="D93" s="574"/>
      <c r="E93" s="574"/>
      <c r="F93" s="574"/>
      <c r="G93" s="574"/>
      <c r="H93" s="574"/>
    </row>
    <row r="94" spans="1:8" s="132" customFormat="1" ht="14">
      <c r="A94" s="574"/>
      <c r="B94" s="574"/>
      <c r="C94" s="573"/>
      <c r="D94" s="574"/>
      <c r="E94" s="574"/>
      <c r="F94" s="574"/>
      <c r="G94" s="574"/>
      <c r="H94" s="574"/>
    </row>
    <row r="95" spans="1:8" s="132" customFormat="1" ht="14">
      <c r="A95" s="574"/>
      <c r="B95" s="574"/>
      <c r="C95" s="573"/>
      <c r="D95" s="574"/>
      <c r="E95" s="574"/>
      <c r="F95" s="574"/>
      <c r="G95" s="574"/>
      <c r="H95" s="574"/>
    </row>
    <row r="96" spans="1:8" s="132" customFormat="1" ht="14">
      <c r="A96" s="574"/>
      <c r="B96" s="574"/>
      <c r="C96" s="573"/>
      <c r="D96" s="574"/>
      <c r="E96" s="574"/>
      <c r="F96" s="574"/>
      <c r="G96" s="574"/>
      <c r="H96" s="574"/>
    </row>
    <row r="97" spans="1:8" s="132" customFormat="1" ht="14">
      <c r="A97" s="574"/>
      <c r="B97" s="574"/>
      <c r="C97" s="573"/>
      <c r="D97" s="574"/>
      <c r="E97" s="574"/>
      <c r="F97" s="574"/>
      <c r="G97" s="574"/>
      <c r="H97" s="574"/>
    </row>
    <row r="98" spans="1:8" s="132" customFormat="1" ht="14">
      <c r="A98" s="574"/>
      <c r="B98" s="574"/>
      <c r="C98" s="573"/>
      <c r="D98" s="574"/>
      <c r="E98" s="574"/>
      <c r="F98" s="574"/>
      <c r="G98" s="574"/>
      <c r="H98" s="574"/>
    </row>
    <row r="99" spans="1:8" s="132" customFormat="1">
      <c r="A99" s="611"/>
      <c r="B99" s="611"/>
      <c r="C99" s="612"/>
      <c r="D99" s="611"/>
      <c r="E99" s="611"/>
      <c r="F99" s="611"/>
      <c r="G99" s="611"/>
      <c r="H99" s="611"/>
    </row>
    <row r="100" spans="1:8" s="132" customFormat="1">
      <c r="A100" s="611"/>
      <c r="B100" s="611"/>
      <c r="C100" s="612"/>
      <c r="D100" s="611"/>
      <c r="E100" s="611"/>
      <c r="F100" s="611"/>
      <c r="G100" s="611"/>
      <c r="H100" s="611"/>
    </row>
    <row r="101" spans="1:8" s="132" customFormat="1">
      <c r="A101" s="611"/>
      <c r="B101" s="611"/>
      <c r="C101" s="612"/>
      <c r="D101" s="611"/>
      <c r="E101" s="611"/>
      <c r="F101" s="611"/>
      <c r="G101" s="611"/>
      <c r="H101" s="611"/>
    </row>
    <row r="102" spans="1:8" s="132" customFormat="1">
      <c r="C102" s="555"/>
    </row>
    <row r="103" spans="1:8" s="132" customFormat="1">
      <c r="C103" s="555"/>
    </row>
    <row r="104" spans="1:8" s="132" customFormat="1">
      <c r="C104" s="555"/>
    </row>
    <row r="105" spans="1:8" s="132" customFormat="1">
      <c r="C105" s="555"/>
    </row>
    <row r="106" spans="1:8" s="132" customFormat="1">
      <c r="C106" s="555"/>
    </row>
    <row r="107" spans="1:8" s="132" customFormat="1">
      <c r="C107" s="555"/>
    </row>
    <row r="108" spans="1:8" s="132" customFormat="1">
      <c r="C108" s="555"/>
    </row>
    <row r="109" spans="1:8" s="132" customFormat="1">
      <c r="C109" s="555"/>
    </row>
    <row r="110" spans="1:8" s="132" customFormat="1">
      <c r="C110" s="555"/>
    </row>
    <row r="111" spans="1:8" s="132" customFormat="1">
      <c r="C111" s="555"/>
    </row>
    <row r="112" spans="1:8" s="132" customFormat="1">
      <c r="C112" s="555"/>
    </row>
    <row r="113" spans="3:3" s="132" customFormat="1">
      <c r="C113" s="555"/>
    </row>
    <row r="114" spans="3:3" s="132" customFormat="1">
      <c r="C114" s="555"/>
    </row>
    <row r="115" spans="3:3" s="132" customFormat="1">
      <c r="C115" s="555"/>
    </row>
    <row r="116" spans="3:3" s="132" customFormat="1">
      <c r="C116" s="555"/>
    </row>
    <row r="117" spans="3:3" s="132" customFormat="1">
      <c r="C117" s="555"/>
    </row>
    <row r="118" spans="3:3" s="132" customFormat="1">
      <c r="C118" s="555"/>
    </row>
    <row r="119" spans="3:3" s="132" customFormat="1">
      <c r="C119" s="555"/>
    </row>
    <row r="120" spans="3:3" s="132" customFormat="1">
      <c r="C120" s="555"/>
    </row>
    <row r="121" spans="3:3" s="132" customFormat="1">
      <c r="C121" s="555"/>
    </row>
    <row r="122" spans="3:3" s="132" customFormat="1">
      <c r="C122" s="555"/>
    </row>
    <row r="123" spans="3:3" s="132" customFormat="1">
      <c r="C123" s="555"/>
    </row>
    <row r="124" spans="3:3" s="132" customFormat="1">
      <c r="C124" s="555"/>
    </row>
    <row r="125" spans="3:3" s="132" customFormat="1">
      <c r="C125" s="555"/>
    </row>
    <row r="126" spans="3:3" s="132" customFormat="1">
      <c r="C126" s="555"/>
    </row>
    <row r="127" spans="3:3" s="132" customFormat="1">
      <c r="C127" s="555"/>
    </row>
    <row r="128" spans="3:3" s="132" customFormat="1">
      <c r="C128" s="555"/>
    </row>
    <row r="129" spans="3:3" s="132" customFormat="1">
      <c r="C129" s="555"/>
    </row>
    <row r="130" spans="3:3" s="132" customFormat="1">
      <c r="C130" s="555"/>
    </row>
    <row r="131" spans="3:3" s="132" customFormat="1">
      <c r="C131" s="555"/>
    </row>
    <row r="132" spans="3:3" s="132" customFormat="1">
      <c r="C132" s="555"/>
    </row>
    <row r="133" spans="3:3" s="132" customFormat="1">
      <c r="C133" s="555"/>
    </row>
    <row r="134" spans="3:3" s="132" customFormat="1">
      <c r="C134" s="555"/>
    </row>
    <row r="135" spans="3:3" s="132" customFormat="1">
      <c r="C135" s="555"/>
    </row>
    <row r="136" spans="3:3" s="132" customFormat="1">
      <c r="C136" s="555"/>
    </row>
    <row r="137" spans="3:3" s="132" customFormat="1">
      <c r="C137" s="555"/>
    </row>
    <row r="138" spans="3:3" s="132" customFormat="1">
      <c r="C138" s="555"/>
    </row>
    <row r="139" spans="3:3" s="132" customFormat="1">
      <c r="C139" s="555"/>
    </row>
    <row r="140" spans="3:3" s="132" customFormat="1">
      <c r="C140" s="555"/>
    </row>
    <row r="141" spans="3:3" s="132" customFormat="1">
      <c r="C141" s="555"/>
    </row>
  </sheetData>
  <sheetProtection algorithmName="SHA-512" hashValue="TbctqxScLfDoBDeYq2NWlFid78Xl8WOTGHs96j9n/o01MUe4uB7O6rgZVD6mQ9yavORBAD6d+Q09i8Vi2SMAfw==" saltValue="utuesUqJ6fJyF3EoCqefaw==" spinCount="100000" sheet="1" objects="1" scenarios="1"/>
  <customSheetViews>
    <customSheetView guid="{7D072CBA-4F2D-4FAE-88D9-B6A678BA20E4}" showPageBreaks="1" printArea="1" view="pageBreakPreview">
      <selection activeCell="H12" sqref="H12"/>
      <colBreaks count="1" manualBreakCount="1">
        <brk id="8" max="40" man="1"/>
      </colBreaks>
      <pageMargins left="0.31496062992125984" right="0.31496062992125984" top="0.78740157480314965" bottom="0.78740157480314965" header="0.31496062992125984" footer="0.31496062992125984"/>
      <printOptions horizontalCentered="1"/>
      <pageSetup paperSize="9" scale="80" orientation="landscape" r:id="rId1"/>
    </customSheetView>
    <customSheetView guid="{E52CD1FC-BC62-45DA-B0AB-D94F42ADC76D}" showPageBreaks="1" printArea="1" view="pageBreakPreview">
      <selection activeCell="F5" sqref="F5"/>
      <colBreaks count="1" manualBreakCount="1">
        <brk id="8" max="40" man="1"/>
      </colBreaks>
      <pageMargins left="0.31496062992125984" right="0.31496062992125984" top="0.78740157480314965" bottom="0.78740157480314965" header="0.31496062992125984" footer="0.31496062992125984"/>
      <printOptions horizontalCentered="1"/>
      <pageSetup paperSize="9" scale="80" orientation="landscape" r:id="rId2"/>
    </customSheetView>
    <customSheetView guid="{7AD910D7-FBD5-40ED-8BA7-40BE0FBC3F4B}" showPageBreaks="1" printArea="1" view="pageBreakPreview">
      <selection activeCell="E5" sqref="E5"/>
      <colBreaks count="1" manualBreakCount="1">
        <brk id="8" max="40" man="1"/>
      </colBreaks>
      <pageMargins left="0.31496062992125984" right="0.31496062992125984" top="0.78740157480314965" bottom="0.78740157480314965" header="0.31496062992125984" footer="0.31496062992125984"/>
      <printOptions horizontalCentered="1"/>
      <pageSetup paperSize="9" scale="80" orientation="landscape" r:id="rId3"/>
    </customSheetView>
    <customSheetView guid="{76ECB78A-7CDD-46D1-8666-1706A28EB544}" showPageBreaks="1" printArea="1" view="pageBreakPreview">
      <selection activeCell="E5" sqref="E5"/>
      <colBreaks count="1" manualBreakCount="1">
        <brk id="8" max="40" man="1"/>
      </colBreaks>
      <pageMargins left="0.31496062992125984" right="0.31496062992125984" top="0.78740157480314965" bottom="0.78740157480314965" header="0.31496062992125984" footer="0.31496062992125984"/>
      <printOptions horizontalCentered="1"/>
      <pageSetup paperSize="9" scale="80" orientation="landscape" r:id="rId4"/>
    </customSheetView>
    <customSheetView guid="{418E0683-5E85-4E09-83DB-7513FB73C39E}" showPageBreaks="1" printArea="1" view="pageBreakPreview">
      <selection activeCell="H12" sqref="H12"/>
      <colBreaks count="1" manualBreakCount="1">
        <brk id="8" max="40" man="1"/>
      </colBreaks>
      <pageMargins left="0.31496062992125984" right="0.31496062992125984" top="0.78740157480314965" bottom="0.78740157480314965" header="0.31496062992125984" footer="0.31496062992125984"/>
      <printOptions horizontalCentered="1"/>
      <pageSetup paperSize="9" scale="80" orientation="landscape" r:id="rId5"/>
    </customSheetView>
  </customSheetViews>
  <mergeCells count="11">
    <mergeCell ref="A15:H15"/>
    <mergeCell ref="A25:D25"/>
    <mergeCell ref="A3:H3"/>
    <mergeCell ref="A59:D59"/>
    <mergeCell ref="A1:H1"/>
    <mergeCell ref="A50:H50"/>
    <mergeCell ref="A48:D48"/>
    <mergeCell ref="A13:D13"/>
    <mergeCell ref="A39:H39"/>
    <mergeCell ref="A27:H27"/>
    <mergeCell ref="A37:D37"/>
  </mergeCells>
  <printOptions horizontalCentered="1"/>
  <pageMargins left="0.51181102362204722" right="0.51181102362204722" top="0.78740157480314965" bottom="0.59055118110236227" header="0.31496062992125984" footer="0.31496062992125984"/>
  <pageSetup paperSize="9" scale="52" orientation="portrait" r:id="rId6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ilha50">
    <tabColor rgb="FF92D050"/>
  </sheetPr>
  <dimension ref="A1:AG293"/>
  <sheetViews>
    <sheetView view="pageBreakPreview" topLeftCell="A4" zoomScaleNormal="100" zoomScaleSheetLayoutView="100" workbookViewId="0">
      <selection activeCell="B5" sqref="B5"/>
    </sheetView>
  </sheetViews>
  <sheetFormatPr defaultColWidth="9.1796875" defaultRowHeight="14"/>
  <cols>
    <col min="1" max="1" width="8.81640625" style="556" customWidth="1"/>
    <col min="2" max="2" width="62.81640625" customWidth="1"/>
    <col min="4" max="4" width="13" customWidth="1"/>
    <col min="6" max="6" width="15.54296875" bestFit="1" customWidth="1"/>
    <col min="7" max="7" width="14.7265625" customWidth="1"/>
    <col min="8" max="33" width="8.81640625" style="447" customWidth="1"/>
  </cols>
  <sheetData>
    <row r="1" spans="1:33">
      <c r="A1" s="803" t="s">
        <v>291</v>
      </c>
      <c r="B1" s="803"/>
      <c r="C1" s="803"/>
      <c r="D1" s="803"/>
      <c r="E1" s="803"/>
      <c r="F1" s="803"/>
      <c r="G1" s="803"/>
    </row>
    <row r="2" spans="1:33" ht="15" customHeight="1">
      <c r="A2" s="557"/>
      <c r="B2" s="557"/>
      <c r="C2" s="557"/>
      <c r="D2" s="557"/>
      <c r="E2" s="557"/>
      <c r="F2" s="557"/>
      <c r="G2" s="557"/>
    </row>
    <row r="3" spans="1:33">
      <c r="A3" s="804" t="s">
        <v>413</v>
      </c>
      <c r="B3" s="804"/>
      <c r="C3" s="804"/>
      <c r="D3" s="804"/>
      <c r="E3" s="804"/>
      <c r="F3" s="804"/>
      <c r="G3" s="804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</row>
    <row r="4" spans="1:33">
      <c r="A4" s="804" t="s">
        <v>414</v>
      </c>
      <c r="B4" s="804"/>
      <c r="C4" s="804"/>
      <c r="D4" s="804"/>
      <c r="E4" s="804"/>
      <c r="F4" s="804"/>
      <c r="G4" s="804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</row>
    <row r="5" spans="1:33" ht="45" customHeight="1">
      <c r="A5" s="558" t="s">
        <v>158</v>
      </c>
      <c r="B5" s="558" t="s">
        <v>32</v>
      </c>
      <c r="C5" s="558" t="s">
        <v>279</v>
      </c>
      <c r="D5" s="558" t="s">
        <v>170</v>
      </c>
      <c r="E5" s="558" t="s">
        <v>280</v>
      </c>
      <c r="F5" s="558" t="s">
        <v>281</v>
      </c>
      <c r="G5" s="558" t="s">
        <v>282</v>
      </c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</row>
    <row r="6" spans="1:33" ht="28">
      <c r="A6" s="507">
        <v>1</v>
      </c>
      <c r="B6" s="559" t="s">
        <v>283</v>
      </c>
      <c r="C6" s="560" t="s">
        <v>284</v>
      </c>
      <c r="D6" s="297">
        <v>55</v>
      </c>
      <c r="E6" s="561">
        <v>2</v>
      </c>
      <c r="F6" s="562">
        <f>D6*E6</f>
        <v>110</v>
      </c>
      <c r="G6" s="563">
        <f>F6/12</f>
        <v>9.1666666666666661</v>
      </c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</row>
    <row r="7" spans="1:33">
      <c r="A7" s="507">
        <v>2</v>
      </c>
      <c r="B7" s="560" t="s">
        <v>285</v>
      </c>
      <c r="C7" s="560" t="s">
        <v>284</v>
      </c>
      <c r="D7" s="297">
        <v>15</v>
      </c>
      <c r="E7" s="561">
        <v>12</v>
      </c>
      <c r="F7" s="562">
        <f t="shared" ref="F7:F9" si="0">D7*E7</f>
        <v>180</v>
      </c>
      <c r="G7" s="563">
        <f t="shared" ref="G7:G9" si="1">F7/12</f>
        <v>15</v>
      </c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</row>
    <row r="8" spans="1:33" ht="28">
      <c r="A8" s="507">
        <v>3</v>
      </c>
      <c r="B8" s="560" t="s">
        <v>286</v>
      </c>
      <c r="C8" s="560" t="s">
        <v>284</v>
      </c>
      <c r="D8" s="297">
        <v>5.8</v>
      </c>
      <c r="E8" s="561">
        <v>4</v>
      </c>
      <c r="F8" s="562">
        <f t="shared" si="0"/>
        <v>23.2</v>
      </c>
      <c r="G8" s="563">
        <f t="shared" si="1"/>
        <v>1.9333333333333333</v>
      </c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</row>
    <row r="9" spans="1:33" ht="15" customHeight="1">
      <c r="A9" s="507">
        <v>4</v>
      </c>
      <c r="B9" s="564" t="s">
        <v>536</v>
      </c>
      <c r="C9" s="560" t="s">
        <v>284</v>
      </c>
      <c r="D9" s="297">
        <v>4.5999999999999996</v>
      </c>
      <c r="E9" s="561">
        <v>12</v>
      </c>
      <c r="F9" s="562">
        <f t="shared" si="0"/>
        <v>55.199999999999996</v>
      </c>
      <c r="G9" s="563">
        <f t="shared" si="1"/>
        <v>4.5999999999999996</v>
      </c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</row>
    <row r="10" spans="1:33">
      <c r="A10" s="805" t="s">
        <v>299</v>
      </c>
      <c r="B10" s="805"/>
      <c r="C10" s="805"/>
      <c r="D10" s="805"/>
      <c r="E10" s="805"/>
      <c r="F10" s="565">
        <f>SUM(F6:F9)</f>
        <v>368.4</v>
      </c>
      <c r="G10" s="565">
        <f>SUM(G6:G9)</f>
        <v>30.699999999999996</v>
      </c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</row>
    <row r="11" spans="1:33">
      <c r="A11" s="566"/>
      <c r="B11" s="298"/>
      <c r="C11" s="298"/>
      <c r="D11" s="298"/>
      <c r="E11" s="298"/>
      <c r="F11" s="298"/>
      <c r="G11" s="298"/>
    </row>
    <row r="12" spans="1:33">
      <c r="A12" s="804" t="s">
        <v>415</v>
      </c>
      <c r="B12" s="804"/>
      <c r="C12" s="804"/>
      <c r="D12" s="804"/>
      <c r="E12" s="804"/>
      <c r="F12" s="804"/>
      <c r="G12" s="804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</row>
    <row r="13" spans="1:33" ht="28">
      <c r="A13" s="567" t="s">
        <v>158</v>
      </c>
      <c r="B13" s="558" t="s">
        <v>32</v>
      </c>
      <c r="C13" s="558" t="s">
        <v>279</v>
      </c>
      <c r="D13" s="558" t="s">
        <v>170</v>
      </c>
      <c r="E13" s="558" t="s">
        <v>280</v>
      </c>
      <c r="F13" s="558" t="s">
        <v>281</v>
      </c>
      <c r="G13" s="558" t="s">
        <v>282</v>
      </c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</row>
    <row r="14" spans="1:33">
      <c r="A14" s="507">
        <v>1</v>
      </c>
      <c r="B14" s="568" t="s">
        <v>416</v>
      </c>
      <c r="C14" s="560" t="s">
        <v>284</v>
      </c>
      <c r="D14" s="297">
        <v>52.5</v>
      </c>
      <c r="E14" s="569">
        <v>1</v>
      </c>
      <c r="F14" s="570">
        <f t="shared" ref="F14" si="2">D14*E14</f>
        <v>52.5</v>
      </c>
      <c r="G14" s="563">
        <f t="shared" ref="G14" si="3">F14/12</f>
        <v>4.375</v>
      </c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</row>
    <row r="15" spans="1:33">
      <c r="A15" s="507"/>
      <c r="B15" s="568"/>
      <c r="C15" s="560"/>
      <c r="D15" s="571"/>
      <c r="E15" s="569"/>
      <c r="F15" s="570"/>
      <c r="G15" s="563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</row>
    <row r="16" spans="1:33" ht="13.9" customHeight="1">
      <c r="A16" s="802" t="s">
        <v>299</v>
      </c>
      <c r="B16" s="802"/>
      <c r="C16" s="802"/>
      <c r="D16" s="802"/>
      <c r="E16" s="802"/>
      <c r="F16" s="572">
        <f>SUM(F14:F15)</f>
        <v>52.5</v>
      </c>
      <c r="G16" s="565">
        <f>SUM(G14:G15)</f>
        <v>4.375</v>
      </c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</row>
    <row r="17" spans="1:33" s="132" customFormat="1">
      <c r="A17" s="573"/>
      <c r="B17" s="574"/>
      <c r="C17" s="574"/>
      <c r="D17" s="574"/>
      <c r="E17" s="574"/>
      <c r="F17" s="574"/>
      <c r="G17" s="574"/>
    </row>
    <row r="18" spans="1:33">
      <c r="A18" s="575"/>
      <c r="B18" s="575"/>
      <c r="C18" s="575"/>
      <c r="D18" s="803" t="s">
        <v>412</v>
      </c>
      <c r="E18" s="803"/>
      <c r="F18" s="803"/>
      <c r="G18" s="576">
        <f>G10+G16</f>
        <v>35.074999999999996</v>
      </c>
    </row>
    <row r="19" spans="1:33" s="132" customFormat="1">
      <c r="A19" s="555"/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7"/>
      <c r="AG19" s="447"/>
    </row>
    <row r="20" spans="1:33" s="132" customFormat="1">
      <c r="A20" s="555"/>
      <c r="H20" s="447"/>
      <c r="I20" s="44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7"/>
      <c r="AG20" s="447"/>
    </row>
    <row r="21" spans="1:33" s="132" customFormat="1">
      <c r="A21" s="555"/>
      <c r="H21" s="447"/>
      <c r="I21" s="447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7"/>
      <c r="AG21" s="447"/>
    </row>
    <row r="22" spans="1:33" s="132" customFormat="1">
      <c r="A22" s="555"/>
      <c r="H22" s="447"/>
      <c r="I22" s="447"/>
      <c r="J22" s="447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7"/>
      <c r="AG22" s="447"/>
    </row>
    <row r="23" spans="1:33" s="132" customFormat="1">
      <c r="A23" s="555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447"/>
      <c r="AA23" s="447"/>
      <c r="AB23" s="447"/>
      <c r="AC23" s="447"/>
      <c r="AD23" s="447"/>
      <c r="AE23" s="447"/>
      <c r="AF23" s="447"/>
      <c r="AG23" s="447"/>
    </row>
    <row r="24" spans="1:33" s="132" customFormat="1">
      <c r="A24" s="555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</row>
    <row r="25" spans="1:33" s="132" customFormat="1">
      <c r="A25" s="555"/>
      <c r="H25" s="447"/>
      <c r="I25" s="44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7"/>
      <c r="AA25" s="447"/>
      <c r="AB25" s="447"/>
      <c r="AC25" s="447"/>
      <c r="AD25" s="447"/>
      <c r="AE25" s="447"/>
      <c r="AF25" s="447"/>
      <c r="AG25" s="447"/>
    </row>
    <row r="26" spans="1:33" s="132" customFormat="1">
      <c r="A26" s="555"/>
      <c r="H26" s="447"/>
      <c r="I26" s="447"/>
      <c r="J26" s="447"/>
      <c r="K26" s="447"/>
      <c r="L26" s="447"/>
      <c r="M26" s="447"/>
      <c r="N26" s="447"/>
      <c r="O26" s="447"/>
      <c r="P26" s="447"/>
      <c r="Q26" s="447"/>
      <c r="R26" s="447"/>
      <c r="S26" s="447"/>
      <c r="T26" s="447"/>
      <c r="U26" s="447"/>
      <c r="V26" s="447"/>
      <c r="W26" s="447"/>
      <c r="X26" s="447"/>
      <c r="Y26" s="447"/>
      <c r="Z26" s="447"/>
      <c r="AA26" s="447"/>
      <c r="AB26" s="447"/>
      <c r="AC26" s="447"/>
      <c r="AD26" s="447"/>
      <c r="AE26" s="447"/>
      <c r="AF26" s="447"/>
      <c r="AG26" s="447"/>
    </row>
    <row r="27" spans="1:33" s="132" customFormat="1">
      <c r="A27" s="555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447"/>
      <c r="S27" s="447"/>
      <c r="T27" s="447"/>
      <c r="U27" s="447"/>
      <c r="V27" s="447"/>
      <c r="W27" s="447"/>
      <c r="X27" s="447"/>
      <c r="Y27" s="447"/>
      <c r="Z27" s="447"/>
      <c r="AA27" s="447"/>
      <c r="AB27" s="447"/>
      <c r="AC27" s="447"/>
      <c r="AD27" s="447"/>
      <c r="AE27" s="447"/>
      <c r="AF27" s="447"/>
      <c r="AG27" s="447"/>
    </row>
    <row r="28" spans="1:33" s="132" customFormat="1">
      <c r="A28" s="555"/>
      <c r="H28" s="447"/>
      <c r="I28" s="447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7"/>
      <c r="AA28" s="447"/>
      <c r="AB28" s="447"/>
      <c r="AC28" s="447"/>
      <c r="AD28" s="447"/>
      <c r="AE28" s="447"/>
      <c r="AF28" s="447"/>
      <c r="AG28" s="447"/>
    </row>
    <row r="29" spans="1:33" s="132" customFormat="1">
      <c r="A29" s="555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7"/>
      <c r="AA29" s="447"/>
      <c r="AB29" s="447"/>
      <c r="AC29" s="447"/>
      <c r="AD29" s="447"/>
      <c r="AE29" s="447"/>
      <c r="AF29" s="447"/>
      <c r="AG29" s="447"/>
    </row>
    <row r="30" spans="1:33" s="132" customFormat="1">
      <c r="A30" s="555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</row>
    <row r="31" spans="1:33" s="132" customFormat="1">
      <c r="A31" s="555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  <c r="X31" s="447"/>
      <c r="Y31" s="447"/>
      <c r="Z31" s="447"/>
      <c r="AA31" s="447"/>
      <c r="AB31" s="447"/>
      <c r="AC31" s="447"/>
      <c r="AD31" s="447"/>
      <c r="AE31" s="447"/>
      <c r="AF31" s="447"/>
      <c r="AG31" s="447"/>
    </row>
    <row r="32" spans="1:33" s="132" customFormat="1">
      <c r="A32" s="555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7"/>
      <c r="AA32" s="447"/>
      <c r="AB32" s="447"/>
      <c r="AC32" s="447"/>
      <c r="AD32" s="447"/>
      <c r="AE32" s="447"/>
      <c r="AF32" s="447"/>
      <c r="AG32" s="447"/>
    </row>
    <row r="33" spans="1:33" s="132" customFormat="1">
      <c r="A33" s="555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7"/>
      <c r="AA33" s="447"/>
      <c r="AB33" s="447"/>
      <c r="AC33" s="447"/>
      <c r="AD33" s="447"/>
      <c r="AE33" s="447"/>
      <c r="AF33" s="447"/>
      <c r="AG33" s="447"/>
    </row>
    <row r="34" spans="1:33" s="132" customFormat="1">
      <c r="A34" s="555"/>
      <c r="H34" s="447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7"/>
      <c r="AF34" s="447"/>
      <c r="AG34" s="447"/>
    </row>
    <row r="35" spans="1:33" s="132" customFormat="1">
      <c r="A35" s="555"/>
      <c r="H35" s="447"/>
      <c r="I35" s="447"/>
      <c r="J35" s="447"/>
      <c r="K35" s="447"/>
      <c r="L35" s="447"/>
      <c r="M35" s="447"/>
      <c r="N35" s="447"/>
      <c r="O35" s="447"/>
      <c r="P35" s="447"/>
      <c r="Q35" s="447"/>
      <c r="R35" s="447"/>
      <c r="S35" s="447"/>
      <c r="T35" s="447"/>
      <c r="U35" s="447"/>
      <c r="V35" s="447"/>
      <c r="W35" s="447"/>
      <c r="X35" s="447"/>
      <c r="Y35" s="447"/>
      <c r="Z35" s="447"/>
      <c r="AA35" s="447"/>
      <c r="AB35" s="447"/>
      <c r="AC35" s="447"/>
      <c r="AD35" s="447"/>
      <c r="AE35" s="447"/>
      <c r="AF35" s="447"/>
      <c r="AG35" s="447"/>
    </row>
    <row r="36" spans="1:33" s="132" customFormat="1">
      <c r="A36" s="555"/>
      <c r="H36" s="447"/>
      <c r="I36" s="447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</row>
    <row r="37" spans="1:33" s="132" customFormat="1">
      <c r="A37" s="555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  <c r="U37" s="447"/>
      <c r="V37" s="447"/>
      <c r="W37" s="447"/>
      <c r="X37" s="447"/>
      <c r="Y37" s="447"/>
      <c r="Z37" s="447"/>
      <c r="AA37" s="447"/>
      <c r="AB37" s="447"/>
      <c r="AC37" s="447"/>
      <c r="AD37" s="447"/>
      <c r="AE37" s="447"/>
      <c r="AF37" s="447"/>
      <c r="AG37" s="447"/>
    </row>
    <row r="38" spans="1:33" s="132" customFormat="1">
      <c r="A38" s="555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47"/>
      <c r="AC38" s="447"/>
      <c r="AD38" s="447"/>
      <c r="AE38" s="447"/>
      <c r="AF38" s="447"/>
      <c r="AG38" s="447"/>
    </row>
    <row r="39" spans="1:33" s="132" customFormat="1">
      <c r="A39" s="555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</row>
    <row r="40" spans="1:33" s="132" customFormat="1">
      <c r="A40" s="555"/>
      <c r="H40" s="447"/>
      <c r="I40" s="447"/>
      <c r="J40" s="447"/>
      <c r="K40" s="447"/>
      <c r="L40" s="447"/>
      <c r="M40" s="447"/>
      <c r="N40" s="447"/>
      <c r="O40" s="447"/>
      <c r="P40" s="447"/>
      <c r="Q40" s="447"/>
      <c r="R40" s="447"/>
      <c r="S40" s="447"/>
      <c r="T40" s="447"/>
      <c r="U40" s="447"/>
      <c r="V40" s="447"/>
      <c r="W40" s="447"/>
      <c r="X40" s="447"/>
      <c r="Y40" s="447"/>
      <c r="Z40" s="447"/>
      <c r="AA40" s="447"/>
      <c r="AB40" s="447"/>
      <c r="AC40" s="447"/>
      <c r="AD40" s="447"/>
      <c r="AE40" s="447"/>
      <c r="AF40" s="447"/>
      <c r="AG40" s="447"/>
    </row>
    <row r="41" spans="1:33" s="132" customFormat="1">
      <c r="A41" s="555"/>
      <c r="H41" s="447"/>
      <c r="I41" s="447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7"/>
      <c r="AA41" s="447"/>
      <c r="AB41" s="447"/>
      <c r="AC41" s="447"/>
      <c r="AD41" s="447"/>
      <c r="AE41" s="447"/>
      <c r="AF41" s="447"/>
      <c r="AG41" s="447"/>
    </row>
    <row r="42" spans="1:33" s="132" customFormat="1">
      <c r="A42" s="555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</row>
    <row r="43" spans="1:33" s="132" customFormat="1">
      <c r="A43" s="555"/>
      <c r="H43" s="447"/>
      <c r="I43" s="447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7"/>
      <c r="AA43" s="447"/>
      <c r="AB43" s="447"/>
      <c r="AC43" s="447"/>
      <c r="AD43" s="447"/>
      <c r="AE43" s="447"/>
      <c r="AF43" s="447"/>
      <c r="AG43" s="447"/>
    </row>
    <row r="44" spans="1:33" s="132" customFormat="1">
      <c r="A44" s="555"/>
      <c r="H44" s="447"/>
      <c r="I44" s="447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7"/>
      <c r="AC44" s="447"/>
      <c r="AD44" s="447"/>
      <c r="AE44" s="447"/>
      <c r="AF44" s="447"/>
      <c r="AG44" s="447"/>
    </row>
    <row r="45" spans="1:33" s="132" customFormat="1">
      <c r="A45" s="555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</row>
    <row r="46" spans="1:33" s="132" customFormat="1">
      <c r="A46" s="555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7"/>
      <c r="AA46" s="447"/>
      <c r="AB46" s="447"/>
      <c r="AC46" s="447"/>
      <c r="AD46" s="447"/>
      <c r="AE46" s="447"/>
      <c r="AF46" s="447"/>
      <c r="AG46" s="447"/>
    </row>
    <row r="47" spans="1:33" s="132" customFormat="1">
      <c r="A47" s="555"/>
      <c r="H47" s="447"/>
      <c r="I47" s="447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7"/>
      <c r="AA47" s="447"/>
      <c r="AB47" s="447"/>
      <c r="AC47" s="447"/>
      <c r="AD47" s="447"/>
      <c r="AE47" s="447"/>
      <c r="AF47" s="447"/>
      <c r="AG47" s="447"/>
    </row>
    <row r="48" spans="1:33" s="132" customFormat="1">
      <c r="A48" s="555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</row>
    <row r="49" spans="1:33" s="132" customFormat="1">
      <c r="A49" s="555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</row>
    <row r="50" spans="1:33" s="132" customFormat="1">
      <c r="A50" s="555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</row>
    <row r="51" spans="1:33" s="132" customFormat="1">
      <c r="A51" s="555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</row>
    <row r="52" spans="1:33" s="132" customFormat="1">
      <c r="A52" s="555"/>
      <c r="H52" s="447"/>
      <c r="I52" s="447"/>
      <c r="J52" s="447"/>
      <c r="K52" s="447"/>
      <c r="L52" s="447"/>
      <c r="M52" s="447"/>
      <c r="N52" s="447"/>
      <c r="O52" s="447"/>
      <c r="P52" s="447"/>
      <c r="Q52" s="447"/>
      <c r="R52" s="447"/>
      <c r="S52" s="447"/>
      <c r="T52" s="447"/>
      <c r="U52" s="447"/>
      <c r="V52" s="447"/>
      <c r="W52" s="447"/>
      <c r="X52" s="447"/>
      <c r="Y52" s="447"/>
      <c r="Z52" s="447"/>
      <c r="AA52" s="447"/>
      <c r="AB52" s="447"/>
      <c r="AC52" s="447"/>
      <c r="AD52" s="447"/>
      <c r="AE52" s="447"/>
      <c r="AF52" s="447"/>
      <c r="AG52" s="447"/>
    </row>
    <row r="53" spans="1:33" s="132" customFormat="1">
      <c r="A53" s="555"/>
      <c r="H53" s="447"/>
      <c r="I53" s="44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7"/>
      <c r="AA53" s="447"/>
      <c r="AB53" s="447"/>
      <c r="AC53" s="447"/>
      <c r="AD53" s="447"/>
      <c r="AE53" s="447"/>
      <c r="AF53" s="447"/>
      <c r="AG53" s="447"/>
    </row>
    <row r="54" spans="1:33" s="132" customFormat="1">
      <c r="A54" s="555"/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</row>
    <row r="55" spans="1:33" s="132" customFormat="1">
      <c r="A55" s="555"/>
      <c r="H55" s="447"/>
      <c r="I55" s="447"/>
      <c r="J55" s="447"/>
      <c r="K55" s="447"/>
      <c r="L55" s="447"/>
      <c r="M55" s="447"/>
      <c r="N55" s="447"/>
      <c r="O55" s="447"/>
      <c r="P55" s="447"/>
      <c r="Q55" s="447"/>
      <c r="R55" s="447"/>
      <c r="S55" s="447"/>
      <c r="T55" s="447"/>
      <c r="U55" s="447"/>
      <c r="V55" s="447"/>
      <c r="W55" s="447"/>
      <c r="X55" s="447"/>
      <c r="Y55" s="447"/>
      <c r="Z55" s="447"/>
      <c r="AA55" s="447"/>
      <c r="AB55" s="447"/>
      <c r="AC55" s="447"/>
      <c r="AD55" s="447"/>
      <c r="AE55" s="447"/>
      <c r="AF55" s="447"/>
      <c r="AG55" s="447"/>
    </row>
    <row r="56" spans="1:33" s="132" customFormat="1">
      <c r="A56" s="555"/>
      <c r="H56" s="447"/>
      <c r="I56" s="447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7"/>
      <c r="AA56" s="447"/>
      <c r="AB56" s="447"/>
      <c r="AC56" s="447"/>
      <c r="AD56" s="447"/>
      <c r="AE56" s="447"/>
      <c r="AF56" s="447"/>
      <c r="AG56" s="447"/>
    </row>
    <row r="57" spans="1:33" s="132" customFormat="1">
      <c r="A57" s="555"/>
      <c r="H57" s="447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  <c r="Y57" s="447"/>
      <c r="Z57" s="447"/>
      <c r="AA57" s="447"/>
      <c r="AB57" s="447"/>
      <c r="AC57" s="447"/>
      <c r="AD57" s="447"/>
      <c r="AE57" s="447"/>
      <c r="AF57" s="447"/>
      <c r="AG57" s="447"/>
    </row>
    <row r="58" spans="1:33" s="132" customFormat="1">
      <c r="A58" s="555"/>
      <c r="H58" s="447"/>
      <c r="I58" s="447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7"/>
      <c r="AB58" s="447"/>
      <c r="AC58" s="447"/>
      <c r="AD58" s="447"/>
      <c r="AE58" s="447"/>
      <c r="AF58" s="447"/>
      <c r="AG58" s="447"/>
    </row>
    <row r="59" spans="1:33" s="132" customFormat="1">
      <c r="A59" s="555"/>
      <c r="H59" s="447"/>
      <c r="I59" s="447"/>
      <c r="J59" s="447"/>
      <c r="K59" s="447"/>
      <c r="L59" s="447"/>
      <c r="M59" s="447"/>
      <c r="N59" s="447"/>
      <c r="O59" s="447"/>
      <c r="P59" s="447"/>
      <c r="Q59" s="447"/>
      <c r="R59" s="447"/>
      <c r="S59" s="447"/>
      <c r="T59" s="447"/>
      <c r="U59" s="447"/>
      <c r="V59" s="447"/>
      <c r="W59" s="447"/>
      <c r="X59" s="447"/>
      <c r="Y59" s="447"/>
      <c r="Z59" s="447"/>
      <c r="AA59" s="447"/>
      <c r="AB59" s="447"/>
      <c r="AC59" s="447"/>
      <c r="AD59" s="447"/>
      <c r="AE59" s="447"/>
      <c r="AF59" s="447"/>
      <c r="AG59" s="447"/>
    </row>
    <row r="60" spans="1:33" s="132" customFormat="1">
      <c r="A60" s="555"/>
      <c r="H60" s="447"/>
      <c r="I60" s="447"/>
      <c r="J60" s="447"/>
      <c r="K60" s="447"/>
      <c r="L60" s="44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7"/>
      <c r="AB60" s="447"/>
      <c r="AC60" s="447"/>
      <c r="AD60" s="447"/>
      <c r="AE60" s="447"/>
      <c r="AF60" s="447"/>
      <c r="AG60" s="447"/>
    </row>
    <row r="61" spans="1:33" s="132" customFormat="1">
      <c r="A61" s="555"/>
      <c r="H61" s="447"/>
      <c r="I61" s="447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7"/>
      <c r="AA61" s="447"/>
      <c r="AB61" s="447"/>
      <c r="AC61" s="447"/>
      <c r="AD61" s="447"/>
      <c r="AE61" s="447"/>
      <c r="AF61" s="447"/>
      <c r="AG61" s="447"/>
    </row>
    <row r="62" spans="1:33" s="132" customFormat="1">
      <c r="A62" s="555"/>
      <c r="H62" s="447"/>
      <c r="I62" s="447"/>
      <c r="J62" s="447"/>
      <c r="K62" s="447"/>
      <c r="L62" s="447"/>
      <c r="M62" s="447"/>
      <c r="N62" s="447"/>
      <c r="O62" s="447"/>
      <c r="P62" s="447"/>
      <c r="Q62" s="447"/>
      <c r="R62" s="447"/>
      <c r="S62" s="447"/>
      <c r="T62" s="447"/>
      <c r="U62" s="447"/>
      <c r="V62" s="447"/>
      <c r="W62" s="447"/>
      <c r="X62" s="447"/>
      <c r="Y62" s="447"/>
      <c r="Z62" s="447"/>
      <c r="AA62" s="447"/>
      <c r="AB62" s="447"/>
      <c r="AC62" s="447"/>
      <c r="AD62" s="447"/>
      <c r="AE62" s="447"/>
      <c r="AF62" s="447"/>
      <c r="AG62" s="447"/>
    </row>
    <row r="63" spans="1:33" s="132" customFormat="1">
      <c r="A63" s="555"/>
      <c r="H63" s="447"/>
      <c r="I63" s="447"/>
      <c r="J63" s="447"/>
      <c r="K63" s="447"/>
      <c r="L63" s="447"/>
      <c r="M63" s="447"/>
      <c r="N63" s="447"/>
      <c r="O63" s="447"/>
      <c r="P63" s="447"/>
      <c r="Q63" s="447"/>
      <c r="R63" s="447"/>
      <c r="S63" s="447"/>
      <c r="T63" s="447"/>
      <c r="U63" s="447"/>
      <c r="V63" s="447"/>
      <c r="W63" s="447"/>
      <c r="X63" s="447"/>
      <c r="Y63" s="447"/>
      <c r="Z63" s="447"/>
      <c r="AA63" s="447"/>
      <c r="AB63" s="447"/>
      <c r="AC63" s="447"/>
      <c r="AD63" s="447"/>
      <c r="AE63" s="447"/>
      <c r="AF63" s="447"/>
      <c r="AG63" s="447"/>
    </row>
    <row r="64" spans="1:33" s="132" customFormat="1">
      <c r="A64" s="555"/>
      <c r="H64" s="447"/>
      <c r="I64" s="447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7"/>
      <c r="AA64" s="447"/>
      <c r="AB64" s="447"/>
      <c r="AC64" s="447"/>
      <c r="AD64" s="447"/>
      <c r="AE64" s="447"/>
      <c r="AF64" s="447"/>
      <c r="AG64" s="447"/>
    </row>
    <row r="65" spans="1:33" s="132" customFormat="1">
      <c r="A65" s="555"/>
      <c r="H65" s="447"/>
      <c r="I65" s="447"/>
      <c r="J65" s="447"/>
      <c r="K65" s="447"/>
      <c r="L65" s="447"/>
      <c r="M65" s="447"/>
      <c r="N65" s="447"/>
      <c r="O65" s="447"/>
      <c r="P65" s="447"/>
      <c r="Q65" s="447"/>
      <c r="R65" s="447"/>
      <c r="S65" s="447"/>
      <c r="T65" s="447"/>
      <c r="U65" s="447"/>
      <c r="V65" s="447"/>
      <c r="W65" s="447"/>
      <c r="X65" s="447"/>
      <c r="Y65" s="447"/>
      <c r="Z65" s="447"/>
      <c r="AA65" s="447"/>
      <c r="AB65" s="447"/>
      <c r="AC65" s="447"/>
      <c r="AD65" s="447"/>
      <c r="AE65" s="447"/>
      <c r="AF65" s="447"/>
      <c r="AG65" s="447"/>
    </row>
    <row r="66" spans="1:33" s="132" customFormat="1">
      <c r="A66" s="555"/>
      <c r="H66" s="447"/>
      <c r="I66" s="447"/>
      <c r="J66" s="447"/>
      <c r="K66" s="447"/>
      <c r="L66" s="447"/>
      <c r="M66" s="447"/>
      <c r="N66" s="447"/>
      <c r="O66" s="447"/>
      <c r="P66" s="447"/>
      <c r="Q66" s="447"/>
      <c r="R66" s="447"/>
      <c r="S66" s="447"/>
      <c r="T66" s="447"/>
      <c r="U66" s="447"/>
      <c r="V66" s="447"/>
      <c r="W66" s="447"/>
      <c r="X66" s="447"/>
      <c r="Y66" s="447"/>
      <c r="Z66" s="447"/>
      <c r="AA66" s="447"/>
      <c r="AB66" s="447"/>
      <c r="AC66" s="447"/>
      <c r="AD66" s="447"/>
      <c r="AE66" s="447"/>
      <c r="AF66" s="447"/>
      <c r="AG66" s="447"/>
    </row>
    <row r="67" spans="1:33" s="132" customFormat="1">
      <c r="A67" s="555"/>
      <c r="H67" s="447"/>
      <c r="I67" s="447"/>
      <c r="J67" s="447"/>
      <c r="K67" s="447"/>
      <c r="L67" s="447"/>
      <c r="M67" s="447"/>
      <c r="N67" s="447"/>
      <c r="O67" s="447"/>
      <c r="P67" s="447"/>
      <c r="Q67" s="447"/>
      <c r="R67" s="447"/>
      <c r="S67" s="447"/>
      <c r="T67" s="447"/>
      <c r="U67" s="447"/>
      <c r="V67" s="447"/>
      <c r="W67" s="447"/>
      <c r="X67" s="447"/>
      <c r="Y67" s="447"/>
      <c r="Z67" s="447"/>
      <c r="AA67" s="447"/>
      <c r="AB67" s="447"/>
      <c r="AC67" s="447"/>
      <c r="AD67" s="447"/>
      <c r="AE67" s="447"/>
      <c r="AF67" s="447"/>
      <c r="AG67" s="447"/>
    </row>
    <row r="68" spans="1:33" s="132" customFormat="1">
      <c r="A68" s="555"/>
      <c r="H68" s="447"/>
      <c r="I68" s="447"/>
      <c r="J68" s="447"/>
      <c r="K68" s="447"/>
      <c r="L68" s="447"/>
      <c r="M68" s="447"/>
      <c r="N68" s="447"/>
      <c r="O68" s="447"/>
      <c r="P68" s="447"/>
      <c r="Q68" s="447"/>
      <c r="R68" s="447"/>
      <c r="S68" s="447"/>
      <c r="T68" s="447"/>
      <c r="U68" s="447"/>
      <c r="V68" s="447"/>
      <c r="W68" s="447"/>
      <c r="X68" s="447"/>
      <c r="Y68" s="447"/>
      <c r="Z68" s="447"/>
      <c r="AA68" s="447"/>
      <c r="AB68" s="447"/>
      <c r="AC68" s="447"/>
      <c r="AD68" s="447"/>
      <c r="AE68" s="447"/>
      <c r="AF68" s="447"/>
      <c r="AG68" s="447"/>
    </row>
    <row r="69" spans="1:33" s="132" customFormat="1">
      <c r="A69" s="555"/>
      <c r="H69" s="447"/>
      <c r="I69" s="447"/>
      <c r="J69" s="447"/>
      <c r="K69" s="447"/>
      <c r="L69" s="447"/>
      <c r="M69" s="447"/>
      <c r="N69" s="447"/>
      <c r="O69" s="447"/>
      <c r="P69" s="447"/>
      <c r="Q69" s="447"/>
      <c r="R69" s="447"/>
      <c r="S69" s="447"/>
      <c r="T69" s="447"/>
      <c r="U69" s="447"/>
      <c r="V69" s="447"/>
      <c r="W69" s="447"/>
      <c r="X69" s="447"/>
      <c r="Y69" s="447"/>
      <c r="Z69" s="447"/>
      <c r="AA69" s="447"/>
      <c r="AB69" s="447"/>
      <c r="AC69" s="447"/>
      <c r="AD69" s="447"/>
      <c r="AE69" s="447"/>
      <c r="AF69" s="447"/>
      <c r="AG69" s="447"/>
    </row>
    <row r="70" spans="1:33" s="132" customFormat="1">
      <c r="A70" s="555"/>
      <c r="H70" s="447"/>
      <c r="I70" s="447"/>
      <c r="J70" s="447"/>
      <c r="K70" s="447"/>
      <c r="L70" s="447"/>
      <c r="M70" s="447"/>
      <c r="N70" s="447"/>
      <c r="O70" s="447"/>
      <c r="P70" s="447"/>
      <c r="Q70" s="447"/>
      <c r="R70" s="447"/>
      <c r="S70" s="447"/>
      <c r="T70" s="447"/>
      <c r="U70" s="447"/>
      <c r="V70" s="447"/>
      <c r="W70" s="447"/>
      <c r="X70" s="447"/>
      <c r="Y70" s="447"/>
      <c r="Z70" s="447"/>
      <c r="AA70" s="447"/>
      <c r="AB70" s="447"/>
      <c r="AC70" s="447"/>
      <c r="AD70" s="447"/>
      <c r="AE70" s="447"/>
      <c r="AF70" s="447"/>
      <c r="AG70" s="447"/>
    </row>
    <row r="71" spans="1:33" s="132" customFormat="1">
      <c r="A71" s="555"/>
      <c r="H71" s="447"/>
      <c r="I71" s="447"/>
      <c r="J71" s="447"/>
      <c r="K71" s="447"/>
      <c r="L71" s="447"/>
      <c r="M71" s="447"/>
      <c r="N71" s="447"/>
      <c r="O71" s="447"/>
      <c r="P71" s="447"/>
      <c r="Q71" s="447"/>
      <c r="R71" s="447"/>
      <c r="S71" s="447"/>
      <c r="T71" s="447"/>
      <c r="U71" s="447"/>
      <c r="V71" s="447"/>
      <c r="W71" s="447"/>
      <c r="X71" s="447"/>
      <c r="Y71" s="447"/>
      <c r="Z71" s="447"/>
      <c r="AA71" s="447"/>
      <c r="AB71" s="447"/>
      <c r="AC71" s="447"/>
      <c r="AD71" s="447"/>
      <c r="AE71" s="447"/>
      <c r="AF71" s="447"/>
      <c r="AG71" s="447"/>
    </row>
    <row r="72" spans="1:33" s="132" customFormat="1">
      <c r="A72" s="555"/>
      <c r="H72" s="447"/>
      <c r="I72" s="447"/>
      <c r="J72" s="447"/>
      <c r="K72" s="447"/>
      <c r="L72" s="447"/>
      <c r="M72" s="447"/>
      <c r="N72" s="447"/>
      <c r="O72" s="447"/>
      <c r="P72" s="447"/>
      <c r="Q72" s="447"/>
      <c r="R72" s="447"/>
      <c r="S72" s="447"/>
      <c r="T72" s="447"/>
      <c r="U72" s="447"/>
      <c r="V72" s="447"/>
      <c r="W72" s="447"/>
      <c r="X72" s="447"/>
      <c r="Y72" s="447"/>
      <c r="Z72" s="447"/>
      <c r="AA72" s="447"/>
      <c r="AB72" s="447"/>
      <c r="AC72" s="447"/>
      <c r="AD72" s="447"/>
      <c r="AE72" s="447"/>
      <c r="AF72" s="447"/>
      <c r="AG72" s="447"/>
    </row>
    <row r="73" spans="1:33" s="132" customFormat="1">
      <c r="A73" s="555"/>
      <c r="H73" s="447"/>
      <c r="I73" s="447"/>
      <c r="J73" s="447"/>
      <c r="K73" s="447"/>
      <c r="L73" s="447"/>
      <c r="M73" s="447"/>
      <c r="N73" s="447"/>
      <c r="O73" s="447"/>
      <c r="P73" s="447"/>
      <c r="Q73" s="447"/>
      <c r="R73" s="447"/>
      <c r="S73" s="447"/>
      <c r="T73" s="447"/>
      <c r="U73" s="447"/>
      <c r="V73" s="447"/>
      <c r="W73" s="447"/>
      <c r="X73" s="447"/>
      <c r="Y73" s="447"/>
      <c r="Z73" s="447"/>
      <c r="AA73" s="447"/>
      <c r="AB73" s="447"/>
      <c r="AC73" s="447"/>
      <c r="AD73" s="447"/>
      <c r="AE73" s="447"/>
      <c r="AF73" s="447"/>
      <c r="AG73" s="447"/>
    </row>
    <row r="74" spans="1:33" s="132" customFormat="1">
      <c r="A74" s="555"/>
      <c r="H74" s="447"/>
      <c r="I74" s="447"/>
      <c r="J74" s="447"/>
      <c r="K74" s="447"/>
      <c r="L74" s="447"/>
      <c r="M74" s="447"/>
      <c r="N74" s="447"/>
      <c r="O74" s="447"/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7"/>
      <c r="AG74" s="447"/>
    </row>
    <row r="75" spans="1:33" s="132" customFormat="1">
      <c r="A75" s="555"/>
      <c r="H75" s="447"/>
      <c r="I75" s="447"/>
      <c r="J75" s="447"/>
      <c r="K75" s="447"/>
      <c r="L75" s="447"/>
      <c r="M75" s="447"/>
      <c r="N75" s="447"/>
      <c r="O75" s="447"/>
      <c r="P75" s="447"/>
      <c r="Q75" s="447"/>
      <c r="R75" s="447"/>
      <c r="S75" s="447"/>
      <c r="T75" s="447"/>
      <c r="U75" s="447"/>
      <c r="V75" s="447"/>
      <c r="W75" s="447"/>
      <c r="X75" s="447"/>
      <c r="Y75" s="447"/>
      <c r="Z75" s="447"/>
      <c r="AA75" s="447"/>
      <c r="AB75" s="447"/>
      <c r="AC75" s="447"/>
      <c r="AD75" s="447"/>
      <c r="AE75" s="447"/>
      <c r="AF75" s="447"/>
      <c r="AG75" s="447"/>
    </row>
    <row r="76" spans="1:33" s="132" customFormat="1">
      <c r="A76" s="555"/>
      <c r="H76" s="447"/>
      <c r="I76" s="447"/>
      <c r="J76" s="447"/>
      <c r="K76" s="447"/>
      <c r="L76" s="447"/>
      <c r="M76" s="447"/>
      <c r="N76" s="447"/>
      <c r="O76" s="447"/>
      <c r="P76" s="447"/>
      <c r="Q76" s="447"/>
      <c r="R76" s="447"/>
      <c r="S76" s="447"/>
      <c r="T76" s="447"/>
      <c r="U76" s="447"/>
      <c r="V76" s="447"/>
      <c r="W76" s="447"/>
      <c r="X76" s="447"/>
      <c r="Y76" s="447"/>
      <c r="Z76" s="447"/>
      <c r="AA76" s="447"/>
      <c r="AB76" s="447"/>
      <c r="AC76" s="447"/>
      <c r="AD76" s="447"/>
      <c r="AE76" s="447"/>
      <c r="AF76" s="447"/>
      <c r="AG76" s="447"/>
    </row>
    <row r="77" spans="1:33" s="132" customFormat="1">
      <c r="A77" s="555"/>
      <c r="H77" s="447"/>
      <c r="I77" s="447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7"/>
      <c r="AA77" s="447"/>
      <c r="AB77" s="447"/>
      <c r="AC77" s="447"/>
      <c r="AD77" s="447"/>
      <c r="AE77" s="447"/>
      <c r="AF77" s="447"/>
      <c r="AG77" s="447"/>
    </row>
    <row r="78" spans="1:33" s="132" customFormat="1">
      <c r="A78" s="555"/>
      <c r="H78" s="447"/>
      <c r="I78" s="447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7"/>
      <c r="AA78" s="447"/>
      <c r="AB78" s="447"/>
      <c r="AC78" s="447"/>
      <c r="AD78" s="447"/>
      <c r="AE78" s="447"/>
      <c r="AF78" s="447"/>
      <c r="AG78" s="447"/>
    </row>
    <row r="79" spans="1:33" s="132" customFormat="1">
      <c r="A79" s="555"/>
      <c r="H79" s="447"/>
      <c r="I79" s="447"/>
      <c r="J79" s="447"/>
      <c r="K79" s="447"/>
      <c r="L79" s="447"/>
      <c r="M79" s="447"/>
      <c r="N79" s="447"/>
      <c r="O79" s="447"/>
      <c r="P79" s="447"/>
      <c r="Q79" s="447"/>
      <c r="R79" s="447"/>
      <c r="S79" s="447"/>
      <c r="T79" s="447"/>
      <c r="U79" s="447"/>
      <c r="V79" s="447"/>
      <c r="W79" s="447"/>
      <c r="X79" s="447"/>
      <c r="Y79" s="447"/>
      <c r="Z79" s="447"/>
      <c r="AA79" s="447"/>
      <c r="AB79" s="447"/>
      <c r="AC79" s="447"/>
      <c r="AD79" s="447"/>
      <c r="AE79" s="447"/>
      <c r="AF79" s="447"/>
      <c r="AG79" s="447"/>
    </row>
    <row r="80" spans="1:33" s="132" customFormat="1">
      <c r="A80" s="555"/>
      <c r="H80" s="447"/>
      <c r="I80" s="447"/>
      <c r="J80" s="447"/>
      <c r="K80" s="447"/>
      <c r="L80" s="447"/>
      <c r="M80" s="447"/>
      <c r="N80" s="447"/>
      <c r="O80" s="447"/>
      <c r="P80" s="447"/>
      <c r="Q80" s="447"/>
      <c r="R80" s="447"/>
      <c r="S80" s="447"/>
      <c r="T80" s="447"/>
      <c r="U80" s="447"/>
      <c r="V80" s="447"/>
      <c r="W80" s="447"/>
      <c r="X80" s="447"/>
      <c r="Y80" s="447"/>
      <c r="Z80" s="447"/>
      <c r="AA80" s="447"/>
      <c r="AB80" s="447"/>
      <c r="AC80" s="447"/>
      <c r="AD80" s="447"/>
      <c r="AE80" s="447"/>
      <c r="AF80" s="447"/>
      <c r="AG80" s="447"/>
    </row>
    <row r="81" spans="1:33" s="132" customFormat="1">
      <c r="A81" s="555"/>
      <c r="H81" s="447"/>
      <c r="I81" s="447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7"/>
      <c r="AA81" s="447"/>
      <c r="AB81" s="447"/>
      <c r="AC81" s="447"/>
      <c r="AD81" s="447"/>
      <c r="AE81" s="447"/>
      <c r="AF81" s="447"/>
      <c r="AG81" s="447"/>
    </row>
    <row r="82" spans="1:33" s="132" customFormat="1">
      <c r="A82" s="555"/>
      <c r="H82" s="447"/>
      <c r="I82" s="447"/>
      <c r="J82" s="447"/>
      <c r="K82" s="447"/>
      <c r="L82" s="447"/>
      <c r="M82" s="447"/>
      <c r="N82" s="447"/>
      <c r="O82" s="447"/>
      <c r="P82" s="447"/>
      <c r="Q82" s="447"/>
      <c r="R82" s="447"/>
      <c r="S82" s="447"/>
      <c r="T82" s="447"/>
      <c r="U82" s="447"/>
      <c r="V82" s="447"/>
      <c r="W82" s="447"/>
      <c r="X82" s="447"/>
      <c r="Y82" s="447"/>
      <c r="Z82" s="447"/>
      <c r="AA82" s="447"/>
      <c r="AB82" s="447"/>
      <c r="AC82" s="447"/>
      <c r="AD82" s="447"/>
      <c r="AE82" s="447"/>
      <c r="AF82" s="447"/>
      <c r="AG82" s="447"/>
    </row>
    <row r="83" spans="1:33" s="132" customFormat="1">
      <c r="A83" s="555"/>
      <c r="H83" s="447"/>
      <c r="I83" s="447"/>
      <c r="J83" s="447"/>
      <c r="K83" s="447"/>
      <c r="L83" s="447"/>
      <c r="M83" s="447"/>
      <c r="N83" s="447"/>
      <c r="O83" s="447"/>
      <c r="P83" s="447"/>
      <c r="Q83" s="447"/>
      <c r="R83" s="447"/>
      <c r="S83" s="447"/>
      <c r="T83" s="447"/>
      <c r="U83" s="447"/>
      <c r="V83" s="447"/>
      <c r="W83" s="447"/>
      <c r="X83" s="447"/>
      <c r="Y83" s="447"/>
      <c r="Z83" s="447"/>
      <c r="AA83" s="447"/>
      <c r="AB83" s="447"/>
      <c r="AC83" s="447"/>
      <c r="AD83" s="447"/>
      <c r="AE83" s="447"/>
      <c r="AF83" s="447"/>
      <c r="AG83" s="447"/>
    </row>
    <row r="84" spans="1:33" s="132" customFormat="1">
      <c r="A84" s="555"/>
      <c r="H84" s="447"/>
      <c r="I84" s="447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/>
      <c r="U84" s="447"/>
      <c r="V84" s="447"/>
      <c r="W84" s="447"/>
      <c r="X84" s="447"/>
      <c r="Y84" s="447"/>
      <c r="Z84" s="447"/>
      <c r="AA84" s="447"/>
      <c r="AB84" s="447"/>
      <c r="AC84" s="447"/>
      <c r="AD84" s="447"/>
      <c r="AE84" s="447"/>
      <c r="AF84" s="447"/>
      <c r="AG84" s="447"/>
    </row>
    <row r="85" spans="1:33" s="132" customFormat="1">
      <c r="A85" s="555"/>
      <c r="H85" s="447"/>
      <c r="I85" s="44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7"/>
      <c r="AA85" s="447"/>
      <c r="AB85" s="447"/>
      <c r="AC85" s="447"/>
      <c r="AD85" s="447"/>
      <c r="AE85" s="447"/>
      <c r="AF85" s="447"/>
      <c r="AG85" s="447"/>
    </row>
    <row r="86" spans="1:33" s="132" customFormat="1">
      <c r="A86" s="555"/>
      <c r="H86" s="447"/>
      <c r="I86" s="447"/>
      <c r="J86" s="447"/>
      <c r="K86" s="447"/>
      <c r="L86" s="447"/>
      <c r="M86" s="447"/>
      <c r="N86" s="447"/>
      <c r="O86" s="447"/>
      <c r="P86" s="447"/>
      <c r="Q86" s="447"/>
      <c r="R86" s="447"/>
      <c r="S86" s="447"/>
      <c r="T86" s="447"/>
      <c r="U86" s="447"/>
      <c r="V86" s="447"/>
      <c r="W86" s="447"/>
      <c r="X86" s="447"/>
      <c r="Y86" s="447"/>
      <c r="Z86" s="447"/>
      <c r="AA86" s="447"/>
      <c r="AB86" s="447"/>
      <c r="AC86" s="447"/>
      <c r="AD86" s="447"/>
      <c r="AE86" s="447"/>
      <c r="AF86" s="447"/>
      <c r="AG86" s="447"/>
    </row>
    <row r="87" spans="1:33" s="132" customFormat="1">
      <c r="A87" s="555"/>
      <c r="H87" s="447"/>
      <c r="I87" s="447"/>
      <c r="J87" s="447"/>
      <c r="K87" s="447"/>
      <c r="L87" s="447"/>
      <c r="M87" s="447"/>
      <c r="N87" s="447"/>
      <c r="O87" s="447"/>
      <c r="P87" s="447"/>
      <c r="Q87" s="447"/>
      <c r="R87" s="447"/>
      <c r="S87" s="447"/>
      <c r="T87" s="447"/>
      <c r="U87" s="447"/>
      <c r="V87" s="447"/>
      <c r="W87" s="447"/>
      <c r="X87" s="447"/>
      <c r="Y87" s="447"/>
      <c r="Z87" s="447"/>
      <c r="AA87" s="447"/>
      <c r="AB87" s="447"/>
      <c r="AC87" s="447"/>
      <c r="AD87" s="447"/>
      <c r="AE87" s="447"/>
      <c r="AF87" s="447"/>
      <c r="AG87" s="447"/>
    </row>
    <row r="88" spans="1:33" s="132" customFormat="1">
      <c r="A88" s="555"/>
      <c r="H88" s="447"/>
      <c r="I88" s="447"/>
      <c r="J88" s="447"/>
      <c r="K88" s="447"/>
      <c r="L88" s="447"/>
      <c r="M88" s="447"/>
      <c r="N88" s="447"/>
      <c r="O88" s="447"/>
      <c r="P88" s="447"/>
      <c r="Q88" s="447"/>
      <c r="R88" s="447"/>
      <c r="S88" s="447"/>
      <c r="T88" s="447"/>
      <c r="U88" s="447"/>
      <c r="V88" s="447"/>
      <c r="W88" s="447"/>
      <c r="X88" s="447"/>
      <c r="Y88" s="447"/>
      <c r="Z88" s="447"/>
      <c r="AA88" s="447"/>
      <c r="AB88" s="447"/>
      <c r="AC88" s="447"/>
      <c r="AD88" s="447"/>
      <c r="AE88" s="447"/>
      <c r="AF88" s="447"/>
      <c r="AG88" s="447"/>
    </row>
    <row r="89" spans="1:33" s="132" customFormat="1">
      <c r="A89" s="555"/>
      <c r="H89" s="447"/>
      <c r="I89" s="447"/>
      <c r="J89" s="447"/>
      <c r="K89" s="447"/>
      <c r="L89" s="447"/>
      <c r="M89" s="447"/>
      <c r="N89" s="447"/>
      <c r="O89" s="447"/>
      <c r="P89" s="447"/>
      <c r="Q89" s="447"/>
      <c r="R89" s="447"/>
      <c r="S89" s="447"/>
      <c r="T89" s="447"/>
      <c r="U89" s="447"/>
      <c r="V89" s="447"/>
      <c r="W89" s="447"/>
      <c r="X89" s="447"/>
      <c r="Y89" s="447"/>
      <c r="Z89" s="447"/>
      <c r="AA89" s="447"/>
      <c r="AB89" s="447"/>
      <c r="AC89" s="447"/>
      <c r="AD89" s="447"/>
      <c r="AE89" s="447"/>
      <c r="AF89" s="447"/>
      <c r="AG89" s="447"/>
    </row>
    <row r="90" spans="1:33" s="132" customFormat="1">
      <c r="A90" s="555"/>
      <c r="H90" s="447"/>
      <c r="I90" s="447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7"/>
      <c r="AA90" s="447"/>
      <c r="AB90" s="447"/>
      <c r="AC90" s="447"/>
      <c r="AD90" s="447"/>
      <c r="AE90" s="447"/>
      <c r="AF90" s="447"/>
      <c r="AG90" s="447"/>
    </row>
    <row r="91" spans="1:33" s="132" customFormat="1">
      <c r="A91" s="555"/>
      <c r="H91" s="447"/>
      <c r="I91" s="447"/>
      <c r="J91" s="447"/>
      <c r="K91" s="447"/>
      <c r="L91" s="447"/>
      <c r="M91" s="447"/>
      <c r="N91" s="447"/>
      <c r="O91" s="447"/>
      <c r="P91" s="447"/>
      <c r="Q91" s="447"/>
      <c r="R91" s="447"/>
      <c r="S91" s="447"/>
      <c r="T91" s="447"/>
      <c r="U91" s="447"/>
      <c r="V91" s="447"/>
      <c r="W91" s="447"/>
      <c r="X91" s="447"/>
      <c r="Y91" s="447"/>
      <c r="Z91" s="447"/>
      <c r="AA91" s="447"/>
      <c r="AB91" s="447"/>
      <c r="AC91" s="447"/>
      <c r="AD91" s="447"/>
      <c r="AE91" s="447"/>
      <c r="AF91" s="447"/>
      <c r="AG91" s="447"/>
    </row>
    <row r="92" spans="1:33" s="132" customFormat="1">
      <c r="A92" s="555"/>
      <c r="H92" s="447"/>
      <c r="I92" s="447"/>
      <c r="J92" s="447"/>
      <c r="K92" s="447"/>
      <c r="L92" s="447"/>
      <c r="M92" s="447"/>
      <c r="N92" s="447"/>
      <c r="O92" s="447"/>
      <c r="P92" s="447"/>
      <c r="Q92" s="447"/>
      <c r="R92" s="447"/>
      <c r="S92" s="447"/>
      <c r="T92" s="447"/>
      <c r="U92" s="447"/>
      <c r="V92" s="447"/>
      <c r="W92" s="447"/>
      <c r="X92" s="447"/>
      <c r="Y92" s="447"/>
      <c r="Z92" s="447"/>
      <c r="AA92" s="447"/>
      <c r="AB92" s="447"/>
      <c r="AC92" s="447"/>
      <c r="AD92" s="447"/>
      <c r="AE92" s="447"/>
      <c r="AF92" s="447"/>
      <c r="AG92" s="447"/>
    </row>
    <row r="93" spans="1:33" s="132" customFormat="1">
      <c r="A93" s="555"/>
      <c r="H93" s="447"/>
      <c r="I93" s="447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7"/>
      <c r="AA93" s="447"/>
      <c r="AB93" s="447"/>
      <c r="AC93" s="447"/>
      <c r="AD93" s="447"/>
      <c r="AE93" s="447"/>
      <c r="AF93" s="447"/>
      <c r="AG93" s="447"/>
    </row>
    <row r="94" spans="1:33" s="132" customFormat="1">
      <c r="A94" s="555"/>
      <c r="H94" s="447"/>
      <c r="I94" s="447"/>
      <c r="J94" s="447"/>
      <c r="K94" s="447"/>
      <c r="L94" s="447"/>
      <c r="M94" s="447"/>
      <c r="N94" s="447"/>
      <c r="O94" s="447"/>
      <c r="P94" s="447"/>
      <c r="Q94" s="447"/>
      <c r="R94" s="447"/>
      <c r="S94" s="447"/>
      <c r="T94" s="447"/>
      <c r="U94" s="447"/>
      <c r="V94" s="447"/>
      <c r="W94" s="447"/>
      <c r="X94" s="447"/>
      <c r="Y94" s="447"/>
      <c r="Z94" s="447"/>
      <c r="AA94" s="447"/>
      <c r="AB94" s="447"/>
      <c r="AC94" s="447"/>
      <c r="AD94" s="447"/>
      <c r="AE94" s="447"/>
      <c r="AF94" s="447"/>
      <c r="AG94" s="447"/>
    </row>
    <row r="95" spans="1:33" s="132" customFormat="1">
      <c r="A95" s="555"/>
      <c r="H95" s="447"/>
      <c r="I95" s="447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7"/>
      <c r="AA95" s="447"/>
      <c r="AB95" s="447"/>
      <c r="AC95" s="447"/>
      <c r="AD95" s="447"/>
      <c r="AE95" s="447"/>
      <c r="AF95" s="447"/>
      <c r="AG95" s="447"/>
    </row>
    <row r="96" spans="1:33" s="132" customFormat="1">
      <c r="A96" s="555"/>
      <c r="H96" s="447"/>
      <c r="I96" s="447"/>
      <c r="J96" s="447"/>
      <c r="K96" s="447"/>
      <c r="L96" s="447"/>
      <c r="M96" s="447"/>
      <c r="N96" s="447"/>
      <c r="O96" s="447"/>
      <c r="P96" s="447"/>
      <c r="Q96" s="447"/>
      <c r="R96" s="447"/>
      <c r="S96" s="447"/>
      <c r="T96" s="447"/>
      <c r="U96" s="447"/>
      <c r="V96" s="447"/>
      <c r="W96" s="447"/>
      <c r="X96" s="447"/>
      <c r="Y96" s="447"/>
      <c r="Z96" s="447"/>
      <c r="AA96" s="447"/>
      <c r="AB96" s="447"/>
      <c r="AC96" s="447"/>
      <c r="AD96" s="447"/>
      <c r="AE96" s="447"/>
      <c r="AF96" s="447"/>
      <c r="AG96" s="447"/>
    </row>
    <row r="97" spans="1:33" s="132" customFormat="1">
      <c r="A97" s="555"/>
      <c r="H97" s="447"/>
      <c r="I97" s="447"/>
      <c r="J97" s="447"/>
      <c r="K97" s="447"/>
      <c r="L97" s="447"/>
      <c r="M97" s="447"/>
      <c r="N97" s="447"/>
      <c r="O97" s="447"/>
      <c r="P97" s="447"/>
      <c r="Q97" s="447"/>
      <c r="R97" s="447"/>
      <c r="S97" s="447"/>
      <c r="T97" s="447"/>
      <c r="U97" s="447"/>
      <c r="V97" s="447"/>
      <c r="W97" s="447"/>
      <c r="X97" s="447"/>
      <c r="Y97" s="447"/>
      <c r="Z97" s="447"/>
      <c r="AA97" s="447"/>
      <c r="AB97" s="447"/>
      <c r="AC97" s="447"/>
      <c r="AD97" s="447"/>
      <c r="AE97" s="447"/>
      <c r="AF97" s="447"/>
      <c r="AG97" s="447"/>
    </row>
    <row r="98" spans="1:33" s="132" customFormat="1">
      <c r="A98" s="555"/>
      <c r="H98" s="447"/>
      <c r="I98" s="447"/>
      <c r="J98" s="447"/>
      <c r="K98" s="447"/>
      <c r="L98" s="447"/>
      <c r="M98" s="447"/>
      <c r="N98" s="447"/>
      <c r="O98" s="447"/>
      <c r="P98" s="447"/>
      <c r="Q98" s="447"/>
      <c r="R98" s="447"/>
      <c r="S98" s="447"/>
      <c r="T98" s="447"/>
      <c r="U98" s="447"/>
      <c r="V98" s="447"/>
      <c r="W98" s="447"/>
      <c r="X98" s="447"/>
      <c r="Y98" s="447"/>
      <c r="Z98" s="447"/>
      <c r="AA98" s="447"/>
      <c r="AB98" s="447"/>
      <c r="AC98" s="447"/>
      <c r="AD98" s="447"/>
      <c r="AE98" s="447"/>
      <c r="AF98" s="447"/>
      <c r="AG98" s="447"/>
    </row>
    <row r="99" spans="1:33" s="132" customFormat="1">
      <c r="A99" s="555"/>
      <c r="H99" s="447"/>
      <c r="I99" s="44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7"/>
      <c r="AA99" s="447"/>
      <c r="AB99" s="447"/>
      <c r="AC99" s="447"/>
      <c r="AD99" s="447"/>
      <c r="AE99" s="447"/>
      <c r="AF99" s="447"/>
      <c r="AG99" s="447"/>
    </row>
    <row r="100" spans="1:33" s="132" customFormat="1">
      <c r="A100" s="555"/>
      <c r="H100" s="447"/>
      <c r="I100" s="447"/>
      <c r="J100" s="447"/>
      <c r="K100" s="447"/>
      <c r="L100" s="447"/>
      <c r="M100" s="447"/>
      <c r="N100" s="447"/>
      <c r="O100" s="447"/>
      <c r="P100" s="447"/>
      <c r="Q100" s="447"/>
      <c r="R100" s="447"/>
      <c r="S100" s="447"/>
      <c r="T100" s="447"/>
      <c r="U100" s="447"/>
      <c r="V100" s="447"/>
      <c r="W100" s="447"/>
      <c r="X100" s="447"/>
      <c r="Y100" s="447"/>
      <c r="Z100" s="447"/>
      <c r="AA100" s="447"/>
      <c r="AB100" s="447"/>
      <c r="AC100" s="447"/>
      <c r="AD100" s="447"/>
      <c r="AE100" s="447"/>
      <c r="AF100" s="447"/>
      <c r="AG100" s="447"/>
    </row>
    <row r="101" spans="1:33" s="132" customFormat="1">
      <c r="A101" s="555"/>
      <c r="H101" s="447"/>
      <c r="I101" s="447"/>
      <c r="J101" s="447"/>
      <c r="K101" s="447"/>
      <c r="L101" s="447"/>
      <c r="M101" s="447"/>
      <c r="N101" s="447"/>
      <c r="O101" s="447"/>
      <c r="P101" s="447"/>
      <c r="Q101" s="447"/>
      <c r="R101" s="447"/>
      <c r="S101" s="447"/>
      <c r="T101" s="447"/>
      <c r="U101" s="447"/>
      <c r="V101" s="447"/>
      <c r="W101" s="447"/>
      <c r="X101" s="447"/>
      <c r="Y101" s="447"/>
      <c r="Z101" s="447"/>
      <c r="AA101" s="447"/>
      <c r="AB101" s="447"/>
      <c r="AC101" s="447"/>
      <c r="AD101" s="447"/>
      <c r="AE101" s="447"/>
      <c r="AF101" s="447"/>
      <c r="AG101" s="447"/>
    </row>
    <row r="102" spans="1:33" s="132" customFormat="1">
      <c r="A102" s="555"/>
      <c r="H102" s="447"/>
      <c r="I102" s="447"/>
      <c r="J102" s="447"/>
      <c r="K102" s="447"/>
      <c r="L102" s="447"/>
      <c r="M102" s="447"/>
      <c r="N102" s="447"/>
      <c r="O102" s="447"/>
      <c r="P102" s="447"/>
      <c r="Q102" s="447"/>
      <c r="R102" s="447"/>
      <c r="S102" s="447"/>
      <c r="T102" s="447"/>
      <c r="U102" s="447"/>
      <c r="V102" s="447"/>
      <c r="W102" s="447"/>
      <c r="X102" s="447"/>
      <c r="Y102" s="447"/>
      <c r="Z102" s="447"/>
      <c r="AA102" s="447"/>
      <c r="AB102" s="447"/>
      <c r="AC102" s="447"/>
      <c r="AD102" s="447"/>
      <c r="AE102" s="447"/>
      <c r="AF102" s="447"/>
      <c r="AG102" s="447"/>
    </row>
    <row r="103" spans="1:33" s="132" customFormat="1">
      <c r="A103" s="555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</row>
    <row r="104" spans="1:33" s="132" customFormat="1">
      <c r="A104" s="555"/>
      <c r="H104" s="447"/>
      <c r="I104" s="447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7"/>
      <c r="AA104" s="447"/>
      <c r="AB104" s="447"/>
      <c r="AC104" s="447"/>
      <c r="AD104" s="447"/>
      <c r="AE104" s="447"/>
      <c r="AF104" s="447"/>
      <c r="AG104" s="447"/>
    </row>
    <row r="105" spans="1:33" s="132" customFormat="1">
      <c r="A105" s="555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  <c r="AC105" s="447"/>
      <c r="AD105" s="447"/>
      <c r="AE105" s="447"/>
      <c r="AF105" s="447"/>
      <c r="AG105" s="447"/>
    </row>
    <row r="106" spans="1:33" s="132" customFormat="1">
      <c r="A106" s="555"/>
      <c r="H106" s="447"/>
      <c r="I106" s="447"/>
      <c r="J106" s="447"/>
      <c r="K106" s="447"/>
      <c r="L106" s="447"/>
      <c r="M106" s="447"/>
      <c r="N106" s="447"/>
      <c r="O106" s="447"/>
      <c r="P106" s="447"/>
      <c r="Q106" s="447"/>
      <c r="R106" s="447"/>
      <c r="S106" s="447"/>
      <c r="T106" s="447"/>
      <c r="U106" s="447"/>
      <c r="V106" s="447"/>
      <c r="W106" s="447"/>
      <c r="X106" s="447"/>
      <c r="Y106" s="447"/>
      <c r="Z106" s="447"/>
      <c r="AA106" s="447"/>
      <c r="AB106" s="447"/>
      <c r="AC106" s="447"/>
      <c r="AD106" s="447"/>
      <c r="AE106" s="447"/>
      <c r="AF106" s="447"/>
      <c r="AG106" s="447"/>
    </row>
    <row r="107" spans="1:33" s="132" customFormat="1">
      <c r="A107" s="555"/>
      <c r="H107" s="447"/>
      <c r="I107" s="447"/>
      <c r="J107" s="447"/>
      <c r="K107" s="447"/>
      <c r="L107" s="447"/>
      <c r="M107" s="447"/>
      <c r="N107" s="447"/>
      <c r="O107" s="447"/>
      <c r="P107" s="447"/>
      <c r="Q107" s="447"/>
      <c r="R107" s="447"/>
      <c r="S107" s="447"/>
      <c r="T107" s="447"/>
      <c r="U107" s="447"/>
      <c r="V107" s="447"/>
      <c r="W107" s="447"/>
      <c r="X107" s="447"/>
      <c r="Y107" s="447"/>
      <c r="Z107" s="447"/>
      <c r="AA107" s="447"/>
      <c r="AB107" s="447"/>
      <c r="AC107" s="447"/>
      <c r="AD107" s="447"/>
      <c r="AE107" s="447"/>
      <c r="AF107" s="447"/>
      <c r="AG107" s="447"/>
    </row>
    <row r="108" spans="1:33" s="132" customFormat="1">
      <c r="A108" s="555"/>
      <c r="H108" s="447"/>
      <c r="I108" s="447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/>
      <c r="U108" s="447"/>
      <c r="V108" s="447"/>
      <c r="W108" s="447"/>
      <c r="X108" s="447"/>
      <c r="Y108" s="447"/>
      <c r="Z108" s="447"/>
      <c r="AA108" s="447"/>
      <c r="AB108" s="447"/>
      <c r="AC108" s="447"/>
      <c r="AD108" s="447"/>
      <c r="AE108" s="447"/>
      <c r="AF108" s="447"/>
      <c r="AG108" s="447"/>
    </row>
    <row r="109" spans="1:33" s="132" customFormat="1">
      <c r="A109" s="555"/>
      <c r="H109" s="447"/>
      <c r="I109" s="447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7"/>
      <c r="AA109" s="447"/>
      <c r="AB109" s="447"/>
      <c r="AC109" s="447"/>
      <c r="AD109" s="447"/>
      <c r="AE109" s="447"/>
      <c r="AF109" s="447"/>
      <c r="AG109" s="447"/>
    </row>
    <row r="110" spans="1:33" s="132" customFormat="1">
      <c r="A110" s="555"/>
      <c r="H110" s="447"/>
      <c r="I110" s="447"/>
      <c r="J110" s="447"/>
      <c r="K110" s="447"/>
      <c r="L110" s="447"/>
      <c r="M110" s="447"/>
      <c r="N110" s="447"/>
      <c r="O110" s="447"/>
      <c r="P110" s="447"/>
      <c r="Q110" s="447"/>
      <c r="R110" s="447"/>
      <c r="S110" s="447"/>
      <c r="T110" s="447"/>
      <c r="U110" s="447"/>
      <c r="V110" s="447"/>
      <c r="W110" s="447"/>
      <c r="X110" s="447"/>
      <c r="Y110" s="447"/>
      <c r="Z110" s="447"/>
      <c r="AA110" s="447"/>
      <c r="AB110" s="447"/>
      <c r="AC110" s="447"/>
      <c r="AD110" s="447"/>
      <c r="AE110" s="447"/>
      <c r="AF110" s="447"/>
      <c r="AG110" s="447"/>
    </row>
    <row r="111" spans="1:33" s="132" customFormat="1">
      <c r="A111" s="555"/>
      <c r="H111" s="447"/>
      <c r="I111" s="447"/>
      <c r="J111" s="447"/>
      <c r="K111" s="447"/>
      <c r="L111" s="447"/>
      <c r="M111" s="447"/>
      <c r="N111" s="447"/>
      <c r="O111" s="447"/>
      <c r="P111" s="447"/>
      <c r="Q111" s="447"/>
      <c r="R111" s="447"/>
      <c r="S111" s="447"/>
      <c r="T111" s="447"/>
      <c r="U111" s="447"/>
      <c r="V111" s="447"/>
      <c r="W111" s="447"/>
      <c r="X111" s="447"/>
      <c r="Y111" s="447"/>
      <c r="Z111" s="447"/>
      <c r="AA111" s="447"/>
      <c r="AB111" s="447"/>
      <c r="AC111" s="447"/>
      <c r="AD111" s="447"/>
      <c r="AE111" s="447"/>
      <c r="AF111" s="447"/>
      <c r="AG111" s="447"/>
    </row>
    <row r="112" spans="1:33" s="132" customFormat="1">
      <c r="A112" s="555"/>
      <c r="H112" s="447"/>
      <c r="I112" s="447"/>
      <c r="J112" s="447"/>
      <c r="K112" s="447"/>
      <c r="L112" s="447"/>
      <c r="M112" s="447"/>
      <c r="N112" s="447"/>
      <c r="O112" s="447"/>
      <c r="P112" s="447"/>
      <c r="Q112" s="447"/>
      <c r="R112" s="447"/>
      <c r="S112" s="447"/>
      <c r="T112" s="447"/>
      <c r="U112" s="447"/>
      <c r="V112" s="447"/>
      <c r="W112" s="447"/>
      <c r="X112" s="447"/>
      <c r="Y112" s="447"/>
      <c r="Z112" s="447"/>
      <c r="AA112" s="447"/>
      <c r="AB112" s="447"/>
      <c r="AC112" s="447"/>
      <c r="AD112" s="447"/>
      <c r="AE112" s="447"/>
      <c r="AF112" s="447"/>
      <c r="AG112" s="447"/>
    </row>
    <row r="113" spans="1:33" s="132" customFormat="1">
      <c r="A113" s="555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7"/>
      <c r="AA113" s="447"/>
      <c r="AB113" s="447"/>
      <c r="AC113" s="447"/>
      <c r="AD113" s="447"/>
      <c r="AE113" s="447"/>
      <c r="AF113" s="447"/>
      <c r="AG113" s="447"/>
    </row>
    <row r="114" spans="1:33" s="132" customFormat="1">
      <c r="A114" s="555"/>
      <c r="H114" s="447"/>
      <c r="I114" s="44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7"/>
      <c r="AA114" s="447"/>
      <c r="AB114" s="447"/>
      <c r="AC114" s="447"/>
      <c r="AD114" s="447"/>
      <c r="AE114" s="447"/>
      <c r="AF114" s="447"/>
      <c r="AG114" s="447"/>
    </row>
    <row r="115" spans="1:33" s="132" customFormat="1">
      <c r="A115" s="555"/>
      <c r="H115" s="447"/>
      <c r="I115" s="447"/>
      <c r="J115" s="447"/>
      <c r="K115" s="447"/>
      <c r="L115" s="447"/>
      <c r="M115" s="447"/>
      <c r="N115" s="447"/>
      <c r="O115" s="447"/>
      <c r="P115" s="447"/>
      <c r="Q115" s="447"/>
      <c r="R115" s="447"/>
      <c r="S115" s="447"/>
      <c r="T115" s="447"/>
      <c r="U115" s="447"/>
      <c r="V115" s="447"/>
      <c r="W115" s="447"/>
      <c r="X115" s="447"/>
      <c r="Y115" s="447"/>
      <c r="Z115" s="447"/>
      <c r="AA115" s="447"/>
      <c r="AB115" s="447"/>
      <c r="AC115" s="447"/>
      <c r="AD115" s="447"/>
      <c r="AE115" s="447"/>
      <c r="AF115" s="447"/>
      <c r="AG115" s="447"/>
    </row>
    <row r="116" spans="1:33" s="132" customFormat="1">
      <c r="A116" s="555"/>
      <c r="H116" s="447"/>
      <c r="I116" s="447"/>
      <c r="J116" s="447"/>
      <c r="K116" s="447"/>
      <c r="L116" s="447"/>
      <c r="M116" s="447"/>
      <c r="N116" s="447"/>
      <c r="O116" s="447"/>
      <c r="P116" s="447"/>
      <c r="Q116" s="447"/>
      <c r="R116" s="447"/>
      <c r="S116" s="447"/>
      <c r="T116" s="447"/>
      <c r="U116" s="447"/>
      <c r="V116" s="447"/>
      <c r="W116" s="447"/>
      <c r="X116" s="447"/>
      <c r="Y116" s="447"/>
      <c r="Z116" s="447"/>
      <c r="AA116" s="447"/>
      <c r="AB116" s="447"/>
      <c r="AC116" s="447"/>
      <c r="AD116" s="447"/>
      <c r="AE116" s="447"/>
      <c r="AF116" s="447"/>
      <c r="AG116" s="447"/>
    </row>
    <row r="117" spans="1:33" s="132" customFormat="1">
      <c r="A117" s="555"/>
      <c r="H117" s="447"/>
      <c r="I117" s="447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/>
      <c r="T117" s="447"/>
      <c r="U117" s="447"/>
      <c r="V117" s="447"/>
      <c r="W117" s="447"/>
      <c r="X117" s="447"/>
      <c r="Y117" s="447"/>
      <c r="Z117" s="447"/>
      <c r="AA117" s="447"/>
      <c r="AB117" s="447"/>
      <c r="AC117" s="447"/>
      <c r="AD117" s="447"/>
      <c r="AE117" s="447"/>
      <c r="AF117" s="447"/>
      <c r="AG117" s="447"/>
    </row>
    <row r="118" spans="1:33" s="132" customFormat="1">
      <c r="A118" s="555"/>
      <c r="H118" s="447"/>
      <c r="I118" s="447"/>
      <c r="J118" s="447"/>
      <c r="K118" s="447"/>
      <c r="L118" s="447"/>
      <c r="M118" s="447"/>
      <c r="N118" s="447"/>
      <c r="O118" s="447"/>
      <c r="P118" s="447"/>
      <c r="Q118" s="447"/>
      <c r="R118" s="447"/>
      <c r="S118" s="447"/>
      <c r="T118" s="447"/>
      <c r="U118" s="447"/>
      <c r="V118" s="447"/>
      <c r="W118" s="447"/>
      <c r="X118" s="447"/>
      <c r="Y118" s="447"/>
      <c r="Z118" s="447"/>
      <c r="AA118" s="447"/>
      <c r="AB118" s="447"/>
      <c r="AC118" s="447"/>
      <c r="AD118" s="447"/>
      <c r="AE118" s="447"/>
      <c r="AF118" s="447"/>
      <c r="AG118" s="447"/>
    </row>
    <row r="119" spans="1:33" s="132" customFormat="1">
      <c r="A119" s="555"/>
      <c r="H119" s="447"/>
      <c r="I119" s="447"/>
      <c r="J119" s="447"/>
      <c r="K119" s="447"/>
      <c r="L119" s="447"/>
      <c r="M119" s="447"/>
      <c r="N119" s="447"/>
      <c r="O119" s="447"/>
      <c r="P119" s="447"/>
      <c r="Q119" s="447"/>
      <c r="R119" s="447"/>
      <c r="S119" s="447"/>
      <c r="T119" s="447"/>
      <c r="U119" s="447"/>
      <c r="V119" s="447"/>
      <c r="W119" s="447"/>
      <c r="X119" s="447"/>
      <c r="Y119" s="447"/>
      <c r="Z119" s="447"/>
      <c r="AA119" s="447"/>
      <c r="AB119" s="447"/>
      <c r="AC119" s="447"/>
      <c r="AD119" s="447"/>
      <c r="AE119" s="447"/>
      <c r="AF119" s="447"/>
      <c r="AG119" s="447"/>
    </row>
    <row r="120" spans="1:33" s="132" customFormat="1">
      <c r="A120" s="555"/>
      <c r="H120" s="447"/>
      <c r="I120" s="447"/>
      <c r="J120" s="447"/>
      <c r="K120" s="447"/>
      <c r="L120" s="447"/>
      <c r="M120" s="447"/>
      <c r="N120" s="447"/>
      <c r="O120" s="447"/>
      <c r="P120" s="447"/>
      <c r="Q120" s="447"/>
      <c r="R120" s="447"/>
      <c r="S120" s="447"/>
      <c r="T120" s="447"/>
      <c r="U120" s="447"/>
      <c r="V120" s="447"/>
      <c r="W120" s="447"/>
      <c r="X120" s="447"/>
      <c r="Y120" s="447"/>
      <c r="Z120" s="447"/>
      <c r="AA120" s="447"/>
      <c r="AB120" s="447"/>
      <c r="AC120" s="447"/>
      <c r="AD120" s="447"/>
      <c r="AE120" s="447"/>
      <c r="AF120" s="447"/>
      <c r="AG120" s="447"/>
    </row>
    <row r="121" spans="1:33" s="132" customFormat="1">
      <c r="A121" s="555"/>
      <c r="H121" s="447"/>
      <c r="I121" s="447"/>
      <c r="J121" s="447"/>
      <c r="K121" s="447"/>
      <c r="L121" s="447"/>
      <c r="M121" s="447"/>
      <c r="N121" s="447"/>
      <c r="O121" s="447"/>
      <c r="P121" s="447"/>
      <c r="Q121" s="447"/>
      <c r="R121" s="447"/>
      <c r="S121" s="447"/>
      <c r="T121" s="447"/>
      <c r="U121" s="447"/>
      <c r="V121" s="447"/>
      <c r="W121" s="447"/>
      <c r="X121" s="447"/>
      <c r="Y121" s="447"/>
      <c r="Z121" s="447"/>
      <c r="AA121" s="447"/>
      <c r="AB121" s="447"/>
      <c r="AC121" s="447"/>
      <c r="AD121" s="447"/>
      <c r="AE121" s="447"/>
      <c r="AF121" s="447"/>
      <c r="AG121" s="447"/>
    </row>
    <row r="122" spans="1:33" s="132" customFormat="1">
      <c r="A122" s="555"/>
      <c r="H122" s="447"/>
      <c r="I122" s="447"/>
      <c r="J122" s="447"/>
      <c r="K122" s="447"/>
      <c r="L122" s="447"/>
      <c r="M122" s="447"/>
      <c r="N122" s="447"/>
      <c r="O122" s="447"/>
      <c r="P122" s="447"/>
      <c r="Q122" s="447"/>
      <c r="R122" s="447"/>
      <c r="S122" s="447"/>
      <c r="T122" s="447"/>
      <c r="U122" s="447"/>
      <c r="V122" s="447"/>
      <c r="W122" s="447"/>
      <c r="X122" s="447"/>
      <c r="Y122" s="447"/>
      <c r="Z122" s="447"/>
      <c r="AA122" s="447"/>
      <c r="AB122" s="447"/>
      <c r="AC122" s="447"/>
      <c r="AD122" s="447"/>
      <c r="AE122" s="447"/>
      <c r="AF122" s="447"/>
      <c r="AG122" s="447"/>
    </row>
    <row r="123" spans="1:33" s="132" customFormat="1">
      <c r="A123" s="555"/>
      <c r="H123" s="447"/>
      <c r="I123" s="447"/>
      <c r="J123" s="447"/>
      <c r="K123" s="447"/>
      <c r="L123" s="447"/>
      <c r="M123" s="447"/>
      <c r="N123" s="447"/>
      <c r="O123" s="447"/>
      <c r="P123" s="447"/>
      <c r="Q123" s="447"/>
      <c r="R123" s="447"/>
      <c r="S123" s="447"/>
      <c r="T123" s="447"/>
      <c r="U123" s="447"/>
      <c r="V123" s="447"/>
      <c r="W123" s="447"/>
      <c r="X123" s="447"/>
      <c r="Y123" s="447"/>
      <c r="Z123" s="447"/>
      <c r="AA123" s="447"/>
      <c r="AB123" s="447"/>
      <c r="AC123" s="447"/>
      <c r="AD123" s="447"/>
      <c r="AE123" s="447"/>
      <c r="AF123" s="447"/>
      <c r="AG123" s="447"/>
    </row>
    <row r="124" spans="1:33" s="132" customFormat="1">
      <c r="A124" s="555"/>
      <c r="H124" s="447"/>
      <c r="I124" s="447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7"/>
      <c r="AA124" s="447"/>
      <c r="AB124" s="447"/>
      <c r="AC124" s="447"/>
      <c r="AD124" s="447"/>
      <c r="AE124" s="447"/>
      <c r="AF124" s="447"/>
      <c r="AG124" s="447"/>
    </row>
    <row r="125" spans="1:33" s="132" customFormat="1">
      <c r="A125" s="555"/>
      <c r="H125" s="447"/>
      <c r="I125" s="447"/>
      <c r="J125" s="447"/>
      <c r="K125" s="447"/>
      <c r="L125" s="447"/>
      <c r="M125" s="447"/>
      <c r="N125" s="447"/>
      <c r="O125" s="447"/>
      <c r="P125" s="447"/>
      <c r="Q125" s="447"/>
      <c r="R125" s="447"/>
      <c r="S125" s="447"/>
      <c r="T125" s="447"/>
      <c r="U125" s="447"/>
      <c r="V125" s="447"/>
      <c r="W125" s="447"/>
      <c r="X125" s="447"/>
      <c r="Y125" s="447"/>
      <c r="Z125" s="447"/>
      <c r="AA125" s="447"/>
      <c r="AB125" s="447"/>
      <c r="AC125" s="447"/>
      <c r="AD125" s="447"/>
      <c r="AE125" s="447"/>
      <c r="AF125" s="447"/>
      <c r="AG125" s="447"/>
    </row>
    <row r="126" spans="1:33" s="132" customFormat="1">
      <c r="A126" s="555"/>
      <c r="H126" s="447"/>
      <c r="I126" s="447"/>
      <c r="J126" s="447"/>
      <c r="K126" s="447"/>
      <c r="L126" s="447"/>
      <c r="M126" s="447"/>
      <c r="N126" s="447"/>
      <c r="O126" s="447"/>
      <c r="P126" s="447"/>
      <c r="Q126" s="447"/>
      <c r="R126" s="447"/>
      <c r="S126" s="447"/>
      <c r="T126" s="447"/>
      <c r="U126" s="447"/>
      <c r="V126" s="447"/>
      <c r="W126" s="447"/>
      <c r="X126" s="447"/>
      <c r="Y126" s="447"/>
      <c r="Z126" s="447"/>
      <c r="AA126" s="447"/>
      <c r="AB126" s="447"/>
      <c r="AC126" s="447"/>
      <c r="AD126" s="447"/>
      <c r="AE126" s="447"/>
      <c r="AF126" s="447"/>
      <c r="AG126" s="447"/>
    </row>
    <row r="127" spans="1:33" s="132" customFormat="1">
      <c r="A127" s="555"/>
      <c r="H127" s="447"/>
      <c r="I127" s="447"/>
      <c r="J127" s="447"/>
      <c r="K127" s="447"/>
      <c r="L127" s="447"/>
      <c r="M127" s="447"/>
      <c r="N127" s="447"/>
      <c r="O127" s="447"/>
      <c r="P127" s="447"/>
      <c r="Q127" s="447"/>
      <c r="R127" s="447"/>
      <c r="S127" s="447"/>
      <c r="T127" s="447"/>
      <c r="U127" s="447"/>
      <c r="V127" s="447"/>
      <c r="W127" s="447"/>
      <c r="X127" s="447"/>
      <c r="Y127" s="447"/>
      <c r="Z127" s="447"/>
      <c r="AA127" s="447"/>
      <c r="AB127" s="447"/>
      <c r="AC127" s="447"/>
      <c r="AD127" s="447"/>
      <c r="AE127" s="447"/>
      <c r="AF127" s="447"/>
      <c r="AG127" s="447"/>
    </row>
    <row r="128" spans="1:33" s="132" customFormat="1">
      <c r="A128" s="555"/>
      <c r="H128" s="447"/>
      <c r="I128" s="447"/>
      <c r="J128" s="447"/>
      <c r="K128" s="447"/>
      <c r="L128" s="447"/>
      <c r="M128" s="447"/>
      <c r="N128" s="447"/>
      <c r="O128" s="447"/>
      <c r="P128" s="447"/>
      <c r="Q128" s="447"/>
      <c r="R128" s="447"/>
      <c r="S128" s="447"/>
      <c r="T128" s="447"/>
      <c r="U128" s="447"/>
      <c r="V128" s="447"/>
      <c r="W128" s="447"/>
      <c r="X128" s="447"/>
      <c r="Y128" s="447"/>
      <c r="Z128" s="447"/>
      <c r="AA128" s="447"/>
      <c r="AB128" s="447"/>
      <c r="AC128" s="447"/>
      <c r="AD128" s="447"/>
      <c r="AE128" s="447"/>
      <c r="AF128" s="447"/>
      <c r="AG128" s="447"/>
    </row>
    <row r="129" spans="1:33" s="132" customFormat="1">
      <c r="A129" s="555"/>
      <c r="H129" s="447"/>
      <c r="I129" s="447"/>
      <c r="J129" s="447"/>
      <c r="K129" s="447"/>
      <c r="L129" s="447"/>
      <c r="M129" s="447"/>
      <c r="N129" s="447"/>
      <c r="O129" s="447"/>
      <c r="P129" s="447"/>
      <c r="Q129" s="447"/>
      <c r="R129" s="447"/>
      <c r="S129" s="447"/>
      <c r="T129" s="447"/>
      <c r="U129" s="447"/>
      <c r="V129" s="447"/>
      <c r="W129" s="447"/>
      <c r="X129" s="447"/>
      <c r="Y129" s="447"/>
      <c r="Z129" s="447"/>
      <c r="AA129" s="447"/>
      <c r="AB129" s="447"/>
      <c r="AC129" s="447"/>
      <c r="AD129" s="447"/>
      <c r="AE129" s="447"/>
      <c r="AF129" s="447"/>
      <c r="AG129" s="447"/>
    </row>
    <row r="130" spans="1:33" s="132" customFormat="1">
      <c r="A130" s="555"/>
      <c r="H130" s="447"/>
      <c r="I130" s="447"/>
      <c r="J130" s="447"/>
      <c r="K130" s="447"/>
      <c r="L130" s="447"/>
      <c r="M130" s="447"/>
      <c r="N130" s="447"/>
      <c r="O130" s="447"/>
      <c r="P130" s="447"/>
      <c r="Q130" s="447"/>
      <c r="R130" s="447"/>
      <c r="S130" s="447"/>
      <c r="T130" s="447"/>
      <c r="U130" s="447"/>
      <c r="V130" s="447"/>
      <c r="W130" s="447"/>
      <c r="X130" s="447"/>
      <c r="Y130" s="447"/>
      <c r="Z130" s="447"/>
      <c r="AA130" s="447"/>
      <c r="AB130" s="447"/>
      <c r="AC130" s="447"/>
      <c r="AD130" s="447"/>
      <c r="AE130" s="447"/>
      <c r="AF130" s="447"/>
      <c r="AG130" s="447"/>
    </row>
    <row r="131" spans="1:33" s="132" customFormat="1">
      <c r="A131" s="555"/>
      <c r="H131" s="447"/>
      <c r="I131" s="44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7"/>
      <c r="AA131" s="447"/>
      <c r="AB131" s="447"/>
      <c r="AC131" s="447"/>
      <c r="AD131" s="447"/>
      <c r="AE131" s="447"/>
      <c r="AF131" s="447"/>
      <c r="AG131" s="447"/>
    </row>
    <row r="132" spans="1:33" s="132" customFormat="1">
      <c r="A132" s="555"/>
      <c r="H132" s="447"/>
      <c r="I132" s="447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7"/>
      <c r="AA132" s="447"/>
      <c r="AB132" s="447"/>
      <c r="AC132" s="447"/>
      <c r="AD132" s="447"/>
      <c r="AE132" s="447"/>
      <c r="AF132" s="447"/>
      <c r="AG132" s="447"/>
    </row>
    <row r="133" spans="1:33" s="132" customFormat="1">
      <c r="A133" s="555"/>
      <c r="H133" s="447"/>
      <c r="I133" s="447"/>
      <c r="J133" s="447"/>
      <c r="K133" s="447"/>
      <c r="L133" s="447"/>
      <c r="M133" s="447"/>
      <c r="N133" s="447"/>
      <c r="O133" s="447"/>
      <c r="P133" s="447"/>
      <c r="Q133" s="447"/>
      <c r="R133" s="447"/>
      <c r="S133" s="447"/>
      <c r="T133" s="447"/>
      <c r="U133" s="447"/>
      <c r="V133" s="447"/>
      <c r="W133" s="447"/>
      <c r="X133" s="447"/>
      <c r="Y133" s="447"/>
      <c r="Z133" s="447"/>
      <c r="AA133" s="447"/>
      <c r="AB133" s="447"/>
      <c r="AC133" s="447"/>
      <c r="AD133" s="447"/>
      <c r="AE133" s="447"/>
      <c r="AF133" s="447"/>
      <c r="AG133" s="447"/>
    </row>
    <row r="134" spans="1:33" s="132" customFormat="1">
      <c r="A134" s="555"/>
      <c r="H134" s="447"/>
      <c r="I134" s="44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7"/>
      <c r="AA134" s="447"/>
      <c r="AB134" s="447"/>
      <c r="AC134" s="447"/>
      <c r="AD134" s="447"/>
      <c r="AE134" s="447"/>
      <c r="AF134" s="447"/>
      <c r="AG134" s="447"/>
    </row>
    <row r="135" spans="1:33" s="132" customFormat="1">
      <c r="A135" s="555"/>
      <c r="H135" s="447"/>
      <c r="I135" s="447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7"/>
      <c r="AA135" s="447"/>
      <c r="AB135" s="447"/>
      <c r="AC135" s="447"/>
      <c r="AD135" s="447"/>
      <c r="AE135" s="447"/>
      <c r="AF135" s="447"/>
      <c r="AG135" s="447"/>
    </row>
    <row r="136" spans="1:33" s="132" customFormat="1">
      <c r="A136" s="555"/>
      <c r="H136" s="447"/>
      <c r="I136" s="447"/>
      <c r="J136" s="447"/>
      <c r="K136" s="447"/>
      <c r="L136" s="447"/>
      <c r="M136" s="447"/>
      <c r="N136" s="447"/>
      <c r="O136" s="447"/>
      <c r="P136" s="447"/>
      <c r="Q136" s="447"/>
      <c r="R136" s="447"/>
      <c r="S136" s="447"/>
      <c r="T136" s="447"/>
      <c r="U136" s="447"/>
      <c r="V136" s="447"/>
      <c r="W136" s="447"/>
      <c r="X136" s="447"/>
      <c r="Y136" s="447"/>
      <c r="Z136" s="447"/>
      <c r="AA136" s="447"/>
      <c r="AB136" s="447"/>
      <c r="AC136" s="447"/>
      <c r="AD136" s="447"/>
      <c r="AE136" s="447"/>
      <c r="AF136" s="447"/>
      <c r="AG136" s="447"/>
    </row>
    <row r="137" spans="1:33" s="132" customFormat="1">
      <c r="A137" s="555"/>
      <c r="H137" s="447"/>
      <c r="I137" s="447"/>
      <c r="J137" s="447"/>
      <c r="K137" s="447"/>
      <c r="L137" s="447"/>
      <c r="M137" s="447"/>
      <c r="N137" s="447"/>
      <c r="O137" s="447"/>
      <c r="P137" s="447"/>
      <c r="Q137" s="447"/>
      <c r="R137" s="447"/>
      <c r="S137" s="447"/>
      <c r="T137" s="447"/>
      <c r="U137" s="447"/>
      <c r="V137" s="447"/>
      <c r="W137" s="447"/>
      <c r="X137" s="447"/>
      <c r="Y137" s="447"/>
      <c r="Z137" s="447"/>
      <c r="AA137" s="447"/>
      <c r="AB137" s="447"/>
      <c r="AC137" s="447"/>
      <c r="AD137" s="447"/>
      <c r="AE137" s="447"/>
      <c r="AF137" s="447"/>
      <c r="AG137" s="447"/>
    </row>
    <row r="138" spans="1:33" s="132" customFormat="1">
      <c r="A138" s="555"/>
      <c r="H138" s="447"/>
      <c r="I138" s="447"/>
      <c r="J138" s="447"/>
      <c r="K138" s="447"/>
      <c r="L138" s="447"/>
      <c r="M138" s="447"/>
      <c r="N138" s="447"/>
      <c r="O138" s="447"/>
      <c r="P138" s="447"/>
      <c r="Q138" s="447"/>
      <c r="R138" s="447"/>
      <c r="S138" s="447"/>
      <c r="T138" s="447"/>
      <c r="U138" s="447"/>
      <c r="V138" s="447"/>
      <c r="W138" s="447"/>
      <c r="X138" s="447"/>
      <c r="Y138" s="447"/>
      <c r="Z138" s="447"/>
      <c r="AA138" s="447"/>
      <c r="AB138" s="447"/>
      <c r="AC138" s="447"/>
      <c r="AD138" s="447"/>
      <c r="AE138" s="447"/>
      <c r="AF138" s="447"/>
      <c r="AG138" s="447"/>
    </row>
    <row r="139" spans="1:33" s="132" customFormat="1">
      <c r="A139" s="555"/>
      <c r="H139" s="447"/>
      <c r="I139" s="447"/>
      <c r="J139" s="447"/>
      <c r="K139" s="447"/>
      <c r="L139" s="447"/>
      <c r="M139" s="447"/>
      <c r="N139" s="447"/>
      <c r="O139" s="447"/>
      <c r="P139" s="447"/>
      <c r="Q139" s="447"/>
      <c r="R139" s="447"/>
      <c r="S139" s="447"/>
      <c r="T139" s="447"/>
      <c r="U139" s="447"/>
      <c r="V139" s="447"/>
      <c r="W139" s="447"/>
      <c r="X139" s="447"/>
      <c r="Y139" s="447"/>
      <c r="Z139" s="447"/>
      <c r="AA139" s="447"/>
      <c r="AB139" s="447"/>
      <c r="AC139" s="447"/>
      <c r="AD139" s="447"/>
      <c r="AE139" s="447"/>
      <c r="AF139" s="447"/>
      <c r="AG139" s="447"/>
    </row>
    <row r="140" spans="1:33" s="132" customFormat="1">
      <c r="A140" s="555"/>
      <c r="H140" s="447"/>
      <c r="I140" s="447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7"/>
      <c r="AA140" s="447"/>
      <c r="AB140" s="447"/>
      <c r="AC140" s="447"/>
      <c r="AD140" s="447"/>
      <c r="AE140" s="447"/>
      <c r="AF140" s="447"/>
      <c r="AG140" s="447"/>
    </row>
    <row r="141" spans="1:33" s="132" customFormat="1">
      <c r="A141" s="555"/>
      <c r="H141" s="447"/>
      <c r="I141" s="447"/>
      <c r="J141" s="447"/>
      <c r="K141" s="447"/>
      <c r="L141" s="447"/>
      <c r="M141" s="447"/>
      <c r="N141" s="447"/>
      <c r="O141" s="447"/>
      <c r="P141" s="447"/>
      <c r="Q141" s="447"/>
      <c r="R141" s="447"/>
      <c r="S141" s="447"/>
      <c r="T141" s="447"/>
      <c r="U141" s="447"/>
      <c r="V141" s="447"/>
      <c r="W141" s="447"/>
      <c r="X141" s="447"/>
      <c r="Y141" s="447"/>
      <c r="Z141" s="447"/>
      <c r="AA141" s="447"/>
      <c r="AB141" s="447"/>
      <c r="AC141" s="447"/>
      <c r="AD141" s="447"/>
      <c r="AE141" s="447"/>
      <c r="AF141" s="447"/>
      <c r="AG141" s="447"/>
    </row>
    <row r="142" spans="1:33" s="132" customFormat="1">
      <c r="A142" s="555"/>
      <c r="H142" s="447"/>
      <c r="I142" s="447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447"/>
      <c r="Y142" s="447"/>
      <c r="Z142" s="447"/>
      <c r="AA142" s="447"/>
      <c r="AB142" s="447"/>
      <c r="AC142" s="447"/>
      <c r="AD142" s="447"/>
      <c r="AE142" s="447"/>
      <c r="AF142" s="447"/>
      <c r="AG142" s="447"/>
    </row>
    <row r="143" spans="1:33" s="132" customFormat="1">
      <c r="A143" s="555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  <c r="AC143" s="447"/>
      <c r="AD143" s="447"/>
      <c r="AE143" s="447"/>
      <c r="AF143" s="447"/>
      <c r="AG143" s="447"/>
    </row>
    <row r="144" spans="1:33" s="132" customFormat="1">
      <c r="A144" s="555"/>
      <c r="H144" s="447"/>
      <c r="I144" s="447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7"/>
      <c r="AA144" s="447"/>
      <c r="AB144" s="447"/>
      <c r="AC144" s="447"/>
      <c r="AD144" s="447"/>
      <c r="AE144" s="447"/>
      <c r="AF144" s="447"/>
      <c r="AG144" s="447"/>
    </row>
    <row r="145" spans="1:33" s="132" customFormat="1">
      <c r="A145" s="555"/>
      <c r="H145" s="447"/>
      <c r="I145" s="447"/>
      <c r="J145" s="447"/>
      <c r="K145" s="447"/>
      <c r="L145" s="447"/>
      <c r="M145" s="447"/>
      <c r="N145" s="447"/>
      <c r="O145" s="447"/>
      <c r="P145" s="447"/>
      <c r="Q145" s="447"/>
      <c r="R145" s="447"/>
      <c r="S145" s="447"/>
      <c r="T145" s="447"/>
      <c r="U145" s="447"/>
      <c r="V145" s="447"/>
      <c r="W145" s="447"/>
      <c r="X145" s="447"/>
      <c r="Y145" s="447"/>
      <c r="Z145" s="447"/>
      <c r="AA145" s="447"/>
      <c r="AB145" s="447"/>
      <c r="AC145" s="447"/>
      <c r="AD145" s="447"/>
      <c r="AE145" s="447"/>
      <c r="AF145" s="447"/>
      <c r="AG145" s="447"/>
    </row>
    <row r="146" spans="1:33" s="132" customFormat="1">
      <c r="A146" s="555"/>
      <c r="H146" s="447"/>
      <c r="I146" s="447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7"/>
      <c r="AC146" s="447"/>
      <c r="AD146" s="447"/>
      <c r="AE146" s="447"/>
      <c r="AF146" s="447"/>
      <c r="AG146" s="447"/>
    </row>
    <row r="147" spans="1:33" s="132" customFormat="1">
      <c r="A147" s="555"/>
      <c r="H147" s="447"/>
      <c r="I147" s="44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7"/>
      <c r="AC147" s="447"/>
      <c r="AD147" s="447"/>
      <c r="AE147" s="447"/>
      <c r="AF147" s="447"/>
      <c r="AG147" s="447"/>
    </row>
    <row r="148" spans="1:33" s="132" customFormat="1">
      <c r="A148" s="555"/>
      <c r="H148" s="447"/>
      <c r="I148" s="447"/>
      <c r="J148" s="447"/>
      <c r="K148" s="447"/>
      <c r="L148" s="447"/>
      <c r="M148" s="447"/>
      <c r="N148" s="447"/>
      <c r="O148" s="447"/>
      <c r="P148" s="447"/>
      <c r="Q148" s="447"/>
      <c r="R148" s="447"/>
      <c r="S148" s="447"/>
      <c r="T148" s="447"/>
      <c r="U148" s="447"/>
      <c r="V148" s="447"/>
      <c r="W148" s="447"/>
      <c r="X148" s="447"/>
      <c r="Y148" s="447"/>
      <c r="Z148" s="447"/>
      <c r="AA148" s="447"/>
      <c r="AB148" s="447"/>
      <c r="AC148" s="447"/>
      <c r="AD148" s="447"/>
      <c r="AE148" s="447"/>
      <c r="AF148" s="447"/>
      <c r="AG148" s="447"/>
    </row>
    <row r="149" spans="1:33" s="132" customFormat="1">
      <c r="A149" s="555"/>
      <c r="H149" s="447"/>
      <c r="I149" s="447"/>
      <c r="J149" s="447"/>
      <c r="K149" s="447"/>
      <c r="L149" s="447"/>
      <c r="M149" s="447"/>
      <c r="N149" s="447"/>
      <c r="O149" s="447"/>
      <c r="P149" s="447"/>
      <c r="Q149" s="447"/>
      <c r="R149" s="447"/>
      <c r="S149" s="447"/>
      <c r="T149" s="447"/>
      <c r="U149" s="447"/>
      <c r="V149" s="447"/>
      <c r="W149" s="447"/>
      <c r="X149" s="447"/>
      <c r="Y149" s="447"/>
      <c r="Z149" s="447"/>
      <c r="AA149" s="447"/>
      <c r="AB149" s="447"/>
      <c r="AC149" s="447"/>
      <c r="AD149" s="447"/>
      <c r="AE149" s="447"/>
      <c r="AF149" s="447"/>
      <c r="AG149" s="447"/>
    </row>
    <row r="150" spans="1:33" s="132" customFormat="1">
      <c r="A150" s="555"/>
      <c r="H150" s="447"/>
      <c r="I150" s="447"/>
      <c r="J150" s="447"/>
      <c r="K150" s="447"/>
      <c r="L150" s="447"/>
      <c r="M150" s="447"/>
      <c r="N150" s="447"/>
      <c r="O150" s="447"/>
      <c r="P150" s="447"/>
      <c r="Q150" s="447"/>
      <c r="R150" s="447"/>
      <c r="S150" s="447"/>
      <c r="T150" s="447"/>
      <c r="U150" s="447"/>
      <c r="V150" s="447"/>
      <c r="W150" s="447"/>
      <c r="X150" s="447"/>
      <c r="Y150" s="447"/>
      <c r="Z150" s="447"/>
      <c r="AA150" s="447"/>
      <c r="AB150" s="447"/>
      <c r="AC150" s="447"/>
      <c r="AD150" s="447"/>
      <c r="AE150" s="447"/>
      <c r="AF150" s="447"/>
      <c r="AG150" s="447"/>
    </row>
    <row r="151" spans="1:33" s="132" customFormat="1">
      <c r="A151" s="555"/>
      <c r="H151" s="447"/>
      <c r="I151" s="447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7"/>
      <c r="AA151" s="447"/>
      <c r="AB151" s="447"/>
      <c r="AC151" s="447"/>
      <c r="AD151" s="447"/>
      <c r="AE151" s="447"/>
      <c r="AF151" s="447"/>
      <c r="AG151" s="447"/>
    </row>
    <row r="152" spans="1:33" s="132" customFormat="1">
      <c r="A152" s="555"/>
      <c r="H152" s="447"/>
      <c r="I152" s="447"/>
      <c r="J152" s="447"/>
      <c r="K152" s="447"/>
      <c r="L152" s="447"/>
      <c r="M152" s="447"/>
      <c r="N152" s="447"/>
      <c r="O152" s="447"/>
      <c r="P152" s="447"/>
      <c r="Q152" s="447"/>
      <c r="R152" s="447"/>
      <c r="S152" s="447"/>
      <c r="T152" s="447"/>
      <c r="U152" s="447"/>
      <c r="V152" s="447"/>
      <c r="W152" s="447"/>
      <c r="X152" s="447"/>
      <c r="Y152" s="447"/>
      <c r="Z152" s="447"/>
      <c r="AA152" s="447"/>
      <c r="AB152" s="447"/>
      <c r="AC152" s="447"/>
      <c r="AD152" s="447"/>
      <c r="AE152" s="447"/>
      <c r="AF152" s="447"/>
      <c r="AG152" s="447"/>
    </row>
    <row r="153" spans="1:33" s="132" customFormat="1">
      <c r="A153" s="555"/>
      <c r="H153" s="447"/>
      <c r="I153" s="447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7"/>
      <c r="AC153" s="447"/>
      <c r="AD153" s="447"/>
      <c r="AE153" s="447"/>
      <c r="AF153" s="447"/>
      <c r="AG153" s="447"/>
    </row>
    <row r="154" spans="1:33" s="132" customFormat="1">
      <c r="A154" s="555"/>
      <c r="H154" s="447"/>
      <c r="I154" s="44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7"/>
      <c r="AC154" s="447"/>
      <c r="AD154" s="447"/>
      <c r="AE154" s="447"/>
      <c r="AF154" s="447"/>
      <c r="AG154" s="447"/>
    </row>
    <row r="155" spans="1:33" s="132" customFormat="1">
      <c r="A155" s="555"/>
      <c r="H155" s="447"/>
      <c r="I155" s="44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7"/>
      <c r="AC155" s="447"/>
      <c r="AD155" s="447"/>
      <c r="AE155" s="447"/>
      <c r="AF155" s="447"/>
      <c r="AG155" s="447"/>
    </row>
    <row r="156" spans="1:33" s="132" customFormat="1">
      <c r="A156" s="555"/>
      <c r="H156" s="447"/>
      <c r="I156" s="44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7"/>
      <c r="AC156" s="447"/>
      <c r="AD156" s="447"/>
      <c r="AE156" s="447"/>
      <c r="AF156" s="447"/>
      <c r="AG156" s="447"/>
    </row>
    <row r="157" spans="1:33" s="132" customFormat="1">
      <c r="A157" s="555"/>
      <c r="H157" s="447"/>
      <c r="I157" s="447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7"/>
      <c r="AA157" s="447"/>
      <c r="AB157" s="447"/>
      <c r="AC157" s="447"/>
      <c r="AD157" s="447"/>
      <c r="AE157" s="447"/>
      <c r="AF157" s="447"/>
      <c r="AG157" s="447"/>
    </row>
    <row r="158" spans="1:33" s="132" customFormat="1">
      <c r="A158" s="555"/>
      <c r="H158" s="447"/>
      <c r="I158" s="447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7"/>
      <c r="AC158" s="447"/>
      <c r="AD158" s="447"/>
      <c r="AE158" s="447"/>
      <c r="AF158" s="447"/>
      <c r="AG158" s="447"/>
    </row>
    <row r="159" spans="1:33" s="132" customFormat="1">
      <c r="A159" s="555"/>
      <c r="H159" s="447"/>
      <c r="I159" s="44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7"/>
      <c r="AA159" s="447"/>
      <c r="AB159" s="447"/>
      <c r="AC159" s="447"/>
      <c r="AD159" s="447"/>
      <c r="AE159" s="447"/>
      <c r="AF159" s="447"/>
      <c r="AG159" s="447"/>
    </row>
    <row r="160" spans="1:33" s="132" customFormat="1">
      <c r="A160" s="555"/>
      <c r="H160" s="447"/>
      <c r="I160" s="447"/>
      <c r="J160" s="447"/>
      <c r="K160" s="447"/>
      <c r="L160" s="447"/>
      <c r="M160" s="447"/>
      <c r="N160" s="447"/>
      <c r="O160" s="447"/>
      <c r="P160" s="447"/>
      <c r="Q160" s="447"/>
      <c r="R160" s="447"/>
      <c r="S160" s="447"/>
      <c r="T160" s="447"/>
      <c r="U160" s="447"/>
      <c r="V160" s="447"/>
      <c r="W160" s="447"/>
      <c r="X160" s="447"/>
      <c r="Y160" s="447"/>
      <c r="Z160" s="447"/>
      <c r="AA160" s="447"/>
      <c r="AB160" s="447"/>
      <c r="AC160" s="447"/>
      <c r="AD160" s="447"/>
      <c r="AE160" s="447"/>
      <c r="AF160" s="447"/>
      <c r="AG160" s="447"/>
    </row>
    <row r="161" spans="1:33" s="132" customFormat="1">
      <c r="A161" s="555"/>
      <c r="H161" s="447"/>
      <c r="I161" s="447"/>
      <c r="J161" s="447"/>
      <c r="K161" s="447"/>
      <c r="L161" s="447"/>
      <c r="M161" s="447"/>
      <c r="N161" s="447"/>
      <c r="O161" s="447"/>
      <c r="P161" s="447"/>
      <c r="Q161" s="447"/>
      <c r="R161" s="447"/>
      <c r="S161" s="447"/>
      <c r="T161" s="447"/>
      <c r="U161" s="447"/>
      <c r="V161" s="447"/>
      <c r="W161" s="447"/>
      <c r="X161" s="447"/>
      <c r="Y161" s="447"/>
      <c r="Z161" s="447"/>
      <c r="AA161" s="447"/>
      <c r="AB161" s="447"/>
      <c r="AC161" s="447"/>
      <c r="AD161" s="447"/>
      <c r="AE161" s="447"/>
      <c r="AF161" s="447"/>
      <c r="AG161" s="447"/>
    </row>
    <row r="162" spans="1:33" s="132" customFormat="1">
      <c r="A162" s="555"/>
      <c r="H162" s="447"/>
      <c r="I162" s="447"/>
      <c r="J162" s="447"/>
      <c r="K162" s="447"/>
      <c r="L162" s="447"/>
      <c r="M162" s="447"/>
      <c r="N162" s="447"/>
      <c r="O162" s="447"/>
      <c r="P162" s="447"/>
      <c r="Q162" s="447"/>
      <c r="R162" s="447"/>
      <c r="S162" s="447"/>
      <c r="T162" s="447"/>
      <c r="U162" s="447"/>
      <c r="V162" s="447"/>
      <c r="W162" s="447"/>
      <c r="X162" s="447"/>
      <c r="Y162" s="447"/>
      <c r="Z162" s="447"/>
      <c r="AA162" s="447"/>
      <c r="AB162" s="447"/>
      <c r="AC162" s="447"/>
      <c r="AD162" s="447"/>
      <c r="AE162" s="447"/>
      <c r="AF162" s="447"/>
      <c r="AG162" s="447"/>
    </row>
    <row r="163" spans="1:33" s="132" customFormat="1">
      <c r="A163" s="555"/>
      <c r="H163" s="447"/>
      <c r="I163" s="447"/>
      <c r="J163" s="447"/>
      <c r="K163" s="447"/>
      <c r="L163" s="447"/>
      <c r="M163" s="447"/>
      <c r="N163" s="447"/>
      <c r="O163" s="447"/>
      <c r="P163" s="447"/>
      <c r="Q163" s="447"/>
      <c r="R163" s="447"/>
      <c r="S163" s="447"/>
      <c r="T163" s="447"/>
      <c r="U163" s="447"/>
      <c r="V163" s="447"/>
      <c r="W163" s="447"/>
      <c r="X163" s="447"/>
      <c r="Y163" s="447"/>
      <c r="Z163" s="447"/>
      <c r="AA163" s="447"/>
      <c r="AB163" s="447"/>
      <c r="AC163" s="447"/>
      <c r="AD163" s="447"/>
      <c r="AE163" s="447"/>
      <c r="AF163" s="447"/>
      <c r="AG163" s="447"/>
    </row>
    <row r="164" spans="1:33" s="132" customFormat="1">
      <c r="A164" s="555"/>
      <c r="H164" s="447"/>
      <c r="I164" s="447"/>
      <c r="J164" s="447"/>
      <c r="K164" s="447"/>
      <c r="L164" s="447"/>
      <c r="M164" s="447"/>
      <c r="N164" s="447"/>
      <c r="O164" s="447"/>
      <c r="P164" s="447"/>
      <c r="Q164" s="447"/>
      <c r="R164" s="447"/>
      <c r="S164" s="447"/>
      <c r="T164" s="447"/>
      <c r="U164" s="447"/>
      <c r="V164" s="447"/>
      <c r="W164" s="447"/>
      <c r="X164" s="447"/>
      <c r="Y164" s="447"/>
      <c r="Z164" s="447"/>
      <c r="AA164" s="447"/>
      <c r="AB164" s="447"/>
      <c r="AC164" s="447"/>
      <c r="AD164" s="447"/>
      <c r="AE164" s="447"/>
      <c r="AF164" s="447"/>
      <c r="AG164" s="447"/>
    </row>
    <row r="165" spans="1:33" s="132" customFormat="1">
      <c r="A165" s="555"/>
      <c r="H165" s="447"/>
      <c r="I165" s="447"/>
      <c r="J165" s="447"/>
      <c r="K165" s="447"/>
      <c r="L165" s="447"/>
      <c r="M165" s="447"/>
      <c r="N165" s="447"/>
      <c r="O165" s="447"/>
      <c r="P165" s="447"/>
      <c r="Q165" s="447"/>
      <c r="R165" s="447"/>
      <c r="S165" s="447"/>
      <c r="T165" s="447"/>
      <c r="U165" s="447"/>
      <c r="V165" s="447"/>
      <c r="W165" s="447"/>
      <c r="X165" s="447"/>
      <c r="Y165" s="447"/>
      <c r="Z165" s="447"/>
      <c r="AA165" s="447"/>
      <c r="AB165" s="447"/>
      <c r="AC165" s="447"/>
      <c r="AD165" s="447"/>
      <c r="AE165" s="447"/>
      <c r="AF165" s="447"/>
      <c r="AG165" s="447"/>
    </row>
    <row r="166" spans="1:33" s="132" customFormat="1">
      <c r="A166" s="555"/>
      <c r="H166" s="447"/>
      <c r="I166" s="447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7"/>
      <c r="AA166" s="447"/>
      <c r="AB166" s="447"/>
      <c r="AC166" s="447"/>
      <c r="AD166" s="447"/>
      <c r="AE166" s="447"/>
      <c r="AF166" s="447"/>
      <c r="AG166" s="447"/>
    </row>
    <row r="167" spans="1:33" s="132" customFormat="1">
      <c r="A167" s="555"/>
      <c r="H167" s="447"/>
      <c r="I167" s="447"/>
      <c r="J167" s="447"/>
      <c r="K167" s="447"/>
      <c r="L167" s="447"/>
      <c r="M167" s="447"/>
      <c r="N167" s="447"/>
      <c r="O167" s="447"/>
      <c r="P167" s="447"/>
      <c r="Q167" s="447"/>
      <c r="R167" s="447"/>
      <c r="S167" s="447"/>
      <c r="T167" s="447"/>
      <c r="U167" s="447"/>
      <c r="V167" s="447"/>
      <c r="W167" s="447"/>
      <c r="X167" s="447"/>
      <c r="Y167" s="447"/>
      <c r="Z167" s="447"/>
      <c r="AA167" s="447"/>
      <c r="AB167" s="447"/>
      <c r="AC167" s="447"/>
      <c r="AD167" s="447"/>
      <c r="AE167" s="447"/>
      <c r="AF167" s="447"/>
      <c r="AG167" s="447"/>
    </row>
    <row r="168" spans="1:33" s="132" customFormat="1">
      <c r="A168" s="555"/>
      <c r="H168" s="447"/>
      <c r="I168" s="447"/>
      <c r="J168" s="447"/>
      <c r="K168" s="447"/>
      <c r="L168" s="447"/>
      <c r="M168" s="447"/>
      <c r="N168" s="447"/>
      <c r="O168" s="447"/>
      <c r="P168" s="447"/>
      <c r="Q168" s="447"/>
      <c r="R168" s="447"/>
      <c r="S168" s="447"/>
      <c r="T168" s="447"/>
      <c r="U168" s="447"/>
      <c r="V168" s="447"/>
      <c r="W168" s="447"/>
      <c r="X168" s="447"/>
      <c r="Y168" s="447"/>
      <c r="Z168" s="447"/>
      <c r="AA168" s="447"/>
      <c r="AB168" s="447"/>
      <c r="AC168" s="447"/>
      <c r="AD168" s="447"/>
      <c r="AE168" s="447"/>
      <c r="AF168" s="447"/>
      <c r="AG168" s="447"/>
    </row>
    <row r="169" spans="1:33" s="132" customFormat="1">
      <c r="A169" s="555"/>
      <c r="H169" s="447"/>
      <c r="I169" s="447"/>
      <c r="J169" s="447"/>
      <c r="K169" s="447"/>
      <c r="L169" s="447"/>
      <c r="M169" s="447"/>
      <c r="N169" s="447"/>
      <c r="O169" s="447"/>
      <c r="P169" s="447"/>
      <c r="Q169" s="447"/>
      <c r="R169" s="447"/>
      <c r="S169" s="447"/>
      <c r="T169" s="447"/>
      <c r="U169" s="447"/>
      <c r="V169" s="447"/>
      <c r="W169" s="447"/>
      <c r="X169" s="447"/>
      <c r="Y169" s="447"/>
      <c r="Z169" s="447"/>
      <c r="AA169" s="447"/>
      <c r="AB169" s="447"/>
      <c r="AC169" s="447"/>
      <c r="AD169" s="447"/>
      <c r="AE169" s="447"/>
      <c r="AF169" s="447"/>
      <c r="AG169" s="447"/>
    </row>
    <row r="170" spans="1:33" s="132" customFormat="1">
      <c r="A170" s="555"/>
      <c r="H170" s="447"/>
      <c r="I170" s="447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7"/>
      <c r="AA170" s="447"/>
      <c r="AB170" s="447"/>
      <c r="AC170" s="447"/>
      <c r="AD170" s="447"/>
      <c r="AE170" s="447"/>
      <c r="AF170" s="447"/>
      <c r="AG170" s="447"/>
    </row>
    <row r="171" spans="1:33" s="132" customFormat="1">
      <c r="A171" s="555"/>
      <c r="H171" s="447"/>
      <c r="I171" s="447"/>
      <c r="J171" s="447"/>
      <c r="K171" s="447"/>
      <c r="L171" s="447"/>
      <c r="M171" s="447"/>
      <c r="N171" s="447"/>
      <c r="O171" s="447"/>
      <c r="P171" s="447"/>
      <c r="Q171" s="447"/>
      <c r="R171" s="447"/>
      <c r="S171" s="447"/>
      <c r="T171" s="447"/>
      <c r="U171" s="447"/>
      <c r="V171" s="447"/>
      <c r="W171" s="447"/>
      <c r="X171" s="447"/>
      <c r="Y171" s="447"/>
      <c r="Z171" s="447"/>
      <c r="AA171" s="447"/>
      <c r="AB171" s="447"/>
      <c r="AC171" s="447"/>
      <c r="AD171" s="447"/>
      <c r="AE171" s="447"/>
      <c r="AF171" s="447"/>
      <c r="AG171" s="447"/>
    </row>
    <row r="172" spans="1:33" s="132" customFormat="1">
      <c r="A172" s="555"/>
      <c r="H172" s="447"/>
      <c r="I172" s="447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7"/>
      <c r="AA172" s="447"/>
      <c r="AB172" s="447"/>
      <c r="AC172" s="447"/>
      <c r="AD172" s="447"/>
      <c r="AE172" s="447"/>
      <c r="AF172" s="447"/>
      <c r="AG172" s="447"/>
    </row>
    <row r="173" spans="1:33" s="132" customFormat="1">
      <c r="A173" s="555"/>
      <c r="H173" s="447"/>
      <c r="I173" s="447"/>
      <c r="J173" s="447"/>
      <c r="K173" s="447"/>
      <c r="L173" s="447"/>
      <c r="M173" s="447"/>
      <c r="N173" s="447"/>
      <c r="O173" s="447"/>
      <c r="P173" s="447"/>
      <c r="Q173" s="447"/>
      <c r="R173" s="447"/>
      <c r="S173" s="447"/>
      <c r="T173" s="447"/>
      <c r="U173" s="447"/>
      <c r="V173" s="447"/>
      <c r="W173" s="447"/>
      <c r="X173" s="447"/>
      <c r="Y173" s="447"/>
      <c r="Z173" s="447"/>
      <c r="AA173" s="447"/>
      <c r="AB173" s="447"/>
      <c r="AC173" s="447"/>
      <c r="AD173" s="447"/>
      <c r="AE173" s="447"/>
      <c r="AF173" s="447"/>
      <c r="AG173" s="447"/>
    </row>
    <row r="174" spans="1:33" s="132" customFormat="1">
      <c r="A174" s="555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  <c r="AC174" s="447"/>
      <c r="AD174" s="447"/>
      <c r="AE174" s="447"/>
      <c r="AF174" s="447"/>
      <c r="AG174" s="447"/>
    </row>
    <row r="175" spans="1:33" s="132" customFormat="1">
      <c r="A175" s="555"/>
      <c r="H175" s="447"/>
      <c r="I175" s="447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7"/>
      <c r="AA175" s="447"/>
      <c r="AB175" s="447"/>
      <c r="AC175" s="447"/>
      <c r="AD175" s="447"/>
      <c r="AE175" s="447"/>
      <c r="AF175" s="447"/>
      <c r="AG175" s="447"/>
    </row>
    <row r="176" spans="1:33" s="132" customFormat="1">
      <c r="A176" s="555"/>
      <c r="H176" s="447"/>
      <c r="I176" s="447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7"/>
      <c r="AC176" s="447"/>
      <c r="AD176" s="447"/>
      <c r="AE176" s="447"/>
      <c r="AF176" s="447"/>
      <c r="AG176" s="447"/>
    </row>
    <row r="177" spans="1:33" s="132" customFormat="1">
      <c r="A177" s="555"/>
      <c r="H177" s="447"/>
      <c r="I177" s="447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7"/>
      <c r="AC177" s="447"/>
      <c r="AD177" s="447"/>
      <c r="AE177" s="447"/>
      <c r="AF177" s="447"/>
      <c r="AG177" s="447"/>
    </row>
    <row r="178" spans="1:33" s="132" customFormat="1">
      <c r="A178" s="555"/>
      <c r="H178" s="447"/>
      <c r="I178" s="447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7"/>
      <c r="AC178" s="447"/>
      <c r="AD178" s="447"/>
      <c r="AE178" s="447"/>
      <c r="AF178" s="447"/>
      <c r="AG178" s="447"/>
    </row>
    <row r="179" spans="1:33" s="132" customFormat="1">
      <c r="A179" s="555"/>
      <c r="H179" s="447"/>
      <c r="I179" s="447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7"/>
      <c r="AC179" s="447"/>
      <c r="AD179" s="447"/>
      <c r="AE179" s="447"/>
      <c r="AF179" s="447"/>
      <c r="AG179" s="447"/>
    </row>
    <row r="180" spans="1:33" s="132" customFormat="1">
      <c r="A180" s="555"/>
      <c r="H180" s="447"/>
      <c r="I180" s="447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7"/>
      <c r="AC180" s="447"/>
      <c r="AD180" s="447"/>
      <c r="AE180" s="447"/>
      <c r="AF180" s="447"/>
      <c r="AG180" s="447"/>
    </row>
    <row r="181" spans="1:33" s="132" customFormat="1">
      <c r="A181" s="555"/>
      <c r="H181" s="447"/>
      <c r="I181" s="447"/>
      <c r="J181" s="447"/>
      <c r="K181" s="447"/>
      <c r="L181" s="447"/>
      <c r="M181" s="447"/>
      <c r="N181" s="447"/>
      <c r="O181" s="447"/>
      <c r="P181" s="447"/>
      <c r="Q181" s="447"/>
      <c r="R181" s="447"/>
      <c r="S181" s="447"/>
      <c r="T181" s="447"/>
      <c r="U181" s="447"/>
      <c r="V181" s="447"/>
      <c r="W181" s="447"/>
      <c r="X181" s="447"/>
      <c r="Y181" s="447"/>
      <c r="Z181" s="447"/>
      <c r="AA181" s="447"/>
      <c r="AB181" s="447"/>
      <c r="AC181" s="447"/>
      <c r="AD181" s="447"/>
      <c r="AE181" s="447"/>
      <c r="AF181" s="447"/>
      <c r="AG181" s="447"/>
    </row>
    <row r="182" spans="1:33" s="132" customFormat="1">
      <c r="A182" s="555"/>
      <c r="H182" s="447"/>
      <c r="I182" s="447"/>
      <c r="J182" s="447"/>
      <c r="K182" s="447"/>
      <c r="L182" s="447"/>
      <c r="M182" s="447"/>
      <c r="N182" s="447"/>
      <c r="O182" s="447"/>
      <c r="P182" s="447"/>
      <c r="Q182" s="447"/>
      <c r="R182" s="447"/>
      <c r="S182" s="447"/>
      <c r="T182" s="447"/>
      <c r="U182" s="447"/>
      <c r="V182" s="447"/>
      <c r="W182" s="447"/>
      <c r="X182" s="447"/>
      <c r="Y182" s="447"/>
      <c r="Z182" s="447"/>
      <c r="AA182" s="447"/>
      <c r="AB182" s="447"/>
      <c r="AC182" s="447"/>
      <c r="AD182" s="447"/>
      <c r="AE182" s="447"/>
      <c r="AF182" s="447"/>
      <c r="AG182" s="447"/>
    </row>
    <row r="183" spans="1:33" s="132" customFormat="1">
      <c r="A183" s="555"/>
      <c r="H183" s="447"/>
      <c r="I183" s="447"/>
      <c r="J183" s="447"/>
      <c r="K183" s="447"/>
      <c r="L183" s="447"/>
      <c r="M183" s="447"/>
      <c r="N183" s="447"/>
      <c r="O183" s="447"/>
      <c r="P183" s="447"/>
      <c r="Q183" s="447"/>
      <c r="R183" s="447"/>
      <c r="S183" s="447"/>
      <c r="T183" s="447"/>
      <c r="U183" s="447"/>
      <c r="V183" s="447"/>
      <c r="W183" s="447"/>
      <c r="X183" s="447"/>
      <c r="Y183" s="447"/>
      <c r="Z183" s="447"/>
      <c r="AA183" s="447"/>
      <c r="AB183" s="447"/>
      <c r="AC183" s="447"/>
      <c r="AD183" s="447"/>
      <c r="AE183" s="447"/>
      <c r="AF183" s="447"/>
      <c r="AG183" s="447"/>
    </row>
    <row r="184" spans="1:33" s="132" customFormat="1">
      <c r="A184" s="555"/>
      <c r="H184" s="447"/>
      <c r="I184" s="447"/>
      <c r="J184" s="447"/>
      <c r="K184" s="447"/>
      <c r="L184" s="447"/>
      <c r="M184" s="447"/>
      <c r="N184" s="447"/>
      <c r="O184" s="447"/>
      <c r="P184" s="447"/>
      <c r="Q184" s="447"/>
      <c r="R184" s="447"/>
      <c r="S184" s="447"/>
      <c r="T184" s="447"/>
      <c r="U184" s="447"/>
      <c r="V184" s="447"/>
      <c r="W184" s="447"/>
      <c r="X184" s="447"/>
      <c r="Y184" s="447"/>
      <c r="Z184" s="447"/>
      <c r="AA184" s="447"/>
      <c r="AB184" s="447"/>
      <c r="AC184" s="447"/>
      <c r="AD184" s="447"/>
      <c r="AE184" s="447"/>
      <c r="AF184" s="447"/>
      <c r="AG184" s="447"/>
    </row>
    <row r="185" spans="1:33" s="132" customFormat="1">
      <c r="A185" s="555"/>
      <c r="H185" s="447"/>
      <c r="I185" s="447"/>
      <c r="J185" s="447"/>
      <c r="K185" s="447"/>
      <c r="L185" s="447"/>
      <c r="M185" s="447"/>
      <c r="N185" s="447"/>
      <c r="O185" s="447"/>
      <c r="P185" s="447"/>
      <c r="Q185" s="447"/>
      <c r="R185" s="447"/>
      <c r="S185" s="447"/>
      <c r="T185" s="447"/>
      <c r="U185" s="447"/>
      <c r="V185" s="447"/>
      <c r="W185" s="447"/>
      <c r="X185" s="447"/>
      <c r="Y185" s="447"/>
      <c r="Z185" s="447"/>
      <c r="AA185" s="447"/>
      <c r="AB185" s="447"/>
      <c r="AC185" s="447"/>
      <c r="AD185" s="447"/>
      <c r="AE185" s="447"/>
      <c r="AF185" s="447"/>
      <c r="AG185" s="447"/>
    </row>
    <row r="186" spans="1:33" s="132" customFormat="1">
      <c r="A186" s="555"/>
      <c r="H186" s="447"/>
      <c r="I186" s="447"/>
      <c r="J186" s="447"/>
      <c r="K186" s="447"/>
      <c r="L186" s="447"/>
      <c r="M186" s="447"/>
      <c r="N186" s="447"/>
      <c r="O186" s="447"/>
      <c r="P186" s="447"/>
      <c r="Q186" s="447"/>
      <c r="R186" s="447"/>
      <c r="S186" s="447"/>
      <c r="T186" s="447"/>
      <c r="U186" s="447"/>
      <c r="V186" s="447"/>
      <c r="W186" s="447"/>
      <c r="X186" s="447"/>
      <c r="Y186" s="447"/>
      <c r="Z186" s="447"/>
      <c r="AA186" s="447"/>
      <c r="AB186" s="447"/>
      <c r="AC186" s="447"/>
      <c r="AD186" s="447"/>
      <c r="AE186" s="447"/>
      <c r="AF186" s="447"/>
      <c r="AG186" s="447"/>
    </row>
    <row r="187" spans="1:33" s="132" customFormat="1">
      <c r="A187" s="555"/>
      <c r="H187" s="447"/>
      <c r="I187" s="447"/>
      <c r="J187" s="447"/>
      <c r="K187" s="447"/>
      <c r="L187" s="447"/>
      <c r="M187" s="447"/>
      <c r="N187" s="447"/>
      <c r="O187" s="447"/>
      <c r="P187" s="447"/>
      <c r="Q187" s="447"/>
      <c r="R187" s="447"/>
      <c r="S187" s="447"/>
      <c r="T187" s="447"/>
      <c r="U187" s="447"/>
      <c r="V187" s="447"/>
      <c r="W187" s="447"/>
      <c r="X187" s="447"/>
      <c r="Y187" s="447"/>
      <c r="Z187" s="447"/>
      <c r="AA187" s="447"/>
      <c r="AB187" s="447"/>
      <c r="AC187" s="447"/>
      <c r="AD187" s="447"/>
      <c r="AE187" s="447"/>
      <c r="AF187" s="447"/>
      <c r="AG187" s="447"/>
    </row>
    <row r="188" spans="1:33" s="132" customFormat="1">
      <c r="A188" s="555"/>
      <c r="H188" s="447"/>
      <c r="I188" s="44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7"/>
      <c r="AC188" s="447"/>
      <c r="AD188" s="447"/>
      <c r="AE188" s="447"/>
      <c r="AF188" s="447"/>
      <c r="AG188" s="447"/>
    </row>
    <row r="189" spans="1:33" s="132" customFormat="1">
      <c r="A189" s="555"/>
      <c r="H189" s="447"/>
      <c r="I189" s="44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7"/>
      <c r="AC189" s="447"/>
      <c r="AD189" s="447"/>
      <c r="AE189" s="447"/>
      <c r="AF189" s="447"/>
      <c r="AG189" s="447"/>
    </row>
    <row r="190" spans="1:33" s="132" customFormat="1">
      <c r="A190" s="555"/>
      <c r="H190" s="447"/>
      <c r="I190" s="447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7"/>
      <c r="AC190" s="447"/>
      <c r="AD190" s="447"/>
      <c r="AE190" s="447"/>
      <c r="AF190" s="447"/>
      <c r="AG190" s="447"/>
    </row>
    <row r="191" spans="1:33" s="132" customFormat="1">
      <c r="A191" s="555"/>
      <c r="H191" s="447"/>
      <c r="I191" s="447"/>
      <c r="J191" s="447"/>
      <c r="K191" s="447"/>
      <c r="L191" s="447"/>
      <c r="M191" s="447"/>
      <c r="N191" s="447"/>
      <c r="O191" s="447"/>
      <c r="P191" s="447"/>
      <c r="Q191" s="447"/>
      <c r="R191" s="447"/>
      <c r="S191" s="447"/>
      <c r="T191" s="447"/>
      <c r="U191" s="447"/>
      <c r="V191" s="447"/>
      <c r="W191" s="447"/>
      <c r="X191" s="447"/>
      <c r="Y191" s="447"/>
      <c r="Z191" s="447"/>
      <c r="AA191" s="447"/>
      <c r="AB191" s="447"/>
      <c r="AC191" s="447"/>
      <c r="AD191" s="447"/>
      <c r="AE191" s="447"/>
      <c r="AF191" s="447"/>
      <c r="AG191" s="447"/>
    </row>
    <row r="192" spans="1:33" s="132" customFormat="1">
      <c r="A192" s="555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7"/>
      <c r="AC192" s="447"/>
      <c r="AD192" s="447"/>
      <c r="AE192" s="447"/>
      <c r="AF192" s="447"/>
      <c r="AG192" s="447"/>
    </row>
    <row r="193" spans="1:33" s="132" customFormat="1">
      <c r="A193" s="555"/>
      <c r="H193" s="447"/>
      <c r="I193" s="447"/>
      <c r="J193" s="447"/>
      <c r="K193" s="447"/>
      <c r="L193" s="447"/>
      <c r="M193" s="447"/>
      <c r="N193" s="447"/>
      <c r="O193" s="447"/>
      <c r="P193" s="447"/>
      <c r="Q193" s="447"/>
      <c r="R193" s="447"/>
      <c r="S193" s="447"/>
      <c r="T193" s="447"/>
      <c r="U193" s="447"/>
      <c r="V193" s="447"/>
      <c r="W193" s="447"/>
      <c r="X193" s="447"/>
      <c r="Y193" s="447"/>
      <c r="Z193" s="447"/>
      <c r="AA193" s="447"/>
      <c r="AB193" s="447"/>
      <c r="AC193" s="447"/>
      <c r="AD193" s="447"/>
      <c r="AE193" s="447"/>
      <c r="AF193" s="447"/>
      <c r="AG193" s="447"/>
    </row>
    <row r="194" spans="1:33" s="132" customFormat="1">
      <c r="A194" s="555"/>
      <c r="H194" s="447"/>
      <c r="I194" s="447"/>
      <c r="J194" s="447"/>
      <c r="K194" s="447"/>
      <c r="L194" s="447"/>
      <c r="M194" s="447"/>
      <c r="N194" s="447"/>
      <c r="O194" s="447"/>
      <c r="P194" s="447"/>
      <c r="Q194" s="447"/>
      <c r="R194" s="447"/>
      <c r="S194" s="447"/>
      <c r="T194" s="447"/>
      <c r="U194" s="447"/>
      <c r="V194" s="447"/>
      <c r="W194" s="447"/>
      <c r="X194" s="447"/>
      <c r="Y194" s="447"/>
      <c r="Z194" s="447"/>
      <c r="AA194" s="447"/>
      <c r="AB194" s="447"/>
      <c r="AC194" s="447"/>
      <c r="AD194" s="447"/>
      <c r="AE194" s="447"/>
      <c r="AF194" s="447"/>
      <c r="AG194" s="447"/>
    </row>
    <row r="195" spans="1:33" s="132" customFormat="1">
      <c r="A195" s="555"/>
      <c r="H195" s="447"/>
      <c r="I195" s="447"/>
      <c r="J195" s="447"/>
      <c r="K195" s="447"/>
      <c r="L195" s="447"/>
      <c r="M195" s="447"/>
      <c r="N195" s="447"/>
      <c r="O195" s="447"/>
      <c r="P195" s="447"/>
      <c r="Q195" s="447"/>
      <c r="R195" s="447"/>
      <c r="S195" s="447"/>
      <c r="T195" s="447"/>
      <c r="U195" s="447"/>
      <c r="V195" s="447"/>
      <c r="W195" s="447"/>
      <c r="X195" s="447"/>
      <c r="Y195" s="447"/>
      <c r="Z195" s="447"/>
      <c r="AA195" s="447"/>
      <c r="AB195" s="447"/>
      <c r="AC195" s="447"/>
      <c r="AD195" s="447"/>
      <c r="AE195" s="447"/>
      <c r="AF195" s="447"/>
      <c r="AG195" s="447"/>
    </row>
    <row r="196" spans="1:33" s="132" customFormat="1">
      <c r="A196" s="555"/>
      <c r="H196" s="447"/>
      <c r="I196" s="447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/>
      <c r="W196" s="447"/>
      <c r="X196" s="447"/>
      <c r="Y196" s="447"/>
      <c r="Z196" s="447"/>
      <c r="AA196" s="447"/>
      <c r="AB196" s="447"/>
      <c r="AC196" s="447"/>
      <c r="AD196" s="447"/>
      <c r="AE196" s="447"/>
      <c r="AF196" s="447"/>
      <c r="AG196" s="447"/>
    </row>
    <row r="197" spans="1:33" s="132" customFormat="1">
      <c r="A197" s="555"/>
      <c r="H197" s="447"/>
      <c r="I197" s="447"/>
      <c r="J197" s="447"/>
      <c r="K197" s="447"/>
      <c r="L197" s="447"/>
      <c r="M197" s="447"/>
      <c r="N197" s="447"/>
      <c r="O197" s="447"/>
      <c r="P197" s="447"/>
      <c r="Q197" s="447"/>
      <c r="R197" s="447"/>
      <c r="S197" s="447"/>
      <c r="T197" s="447"/>
      <c r="U197" s="447"/>
      <c r="V197" s="447"/>
      <c r="W197" s="447"/>
      <c r="X197" s="447"/>
      <c r="Y197" s="447"/>
      <c r="Z197" s="447"/>
      <c r="AA197" s="447"/>
      <c r="AB197" s="447"/>
      <c r="AC197" s="447"/>
      <c r="AD197" s="447"/>
      <c r="AE197" s="447"/>
      <c r="AF197" s="447"/>
      <c r="AG197" s="447"/>
    </row>
    <row r="198" spans="1:33" s="132" customFormat="1">
      <c r="A198" s="555"/>
      <c r="H198" s="447"/>
      <c r="I198" s="447"/>
      <c r="J198" s="447"/>
      <c r="K198" s="447"/>
      <c r="L198" s="447"/>
      <c r="M198" s="447"/>
      <c r="N198" s="447"/>
      <c r="O198" s="447"/>
      <c r="P198" s="447"/>
      <c r="Q198" s="447"/>
      <c r="R198" s="447"/>
      <c r="S198" s="447"/>
      <c r="T198" s="447"/>
      <c r="U198" s="447"/>
      <c r="V198" s="447"/>
      <c r="W198" s="447"/>
      <c r="X198" s="447"/>
      <c r="Y198" s="447"/>
      <c r="Z198" s="447"/>
      <c r="AA198" s="447"/>
      <c r="AB198" s="447"/>
      <c r="AC198" s="447"/>
      <c r="AD198" s="447"/>
      <c r="AE198" s="447"/>
      <c r="AF198" s="447"/>
      <c r="AG198" s="447"/>
    </row>
    <row r="199" spans="1:33" s="132" customFormat="1">
      <c r="A199" s="555"/>
      <c r="H199" s="447"/>
      <c r="I199" s="447"/>
      <c r="J199" s="447"/>
      <c r="K199" s="447"/>
      <c r="L199" s="447"/>
      <c r="M199" s="447"/>
      <c r="N199" s="447"/>
      <c r="O199" s="447"/>
      <c r="P199" s="447"/>
      <c r="Q199" s="447"/>
      <c r="R199" s="447"/>
      <c r="S199" s="447"/>
      <c r="T199" s="447"/>
      <c r="U199" s="447"/>
      <c r="V199" s="447"/>
      <c r="W199" s="447"/>
      <c r="X199" s="447"/>
      <c r="Y199" s="447"/>
      <c r="Z199" s="447"/>
      <c r="AA199" s="447"/>
      <c r="AB199" s="447"/>
      <c r="AC199" s="447"/>
      <c r="AD199" s="447"/>
      <c r="AE199" s="447"/>
      <c r="AF199" s="447"/>
      <c r="AG199" s="447"/>
    </row>
    <row r="200" spans="1:33" s="132" customFormat="1">
      <c r="A200" s="555"/>
      <c r="H200" s="447"/>
      <c r="I200" s="447"/>
      <c r="J200" s="447"/>
      <c r="K200" s="447"/>
      <c r="L200" s="447"/>
      <c r="M200" s="447"/>
      <c r="N200" s="447"/>
      <c r="O200" s="447"/>
      <c r="P200" s="447"/>
      <c r="Q200" s="447"/>
      <c r="R200" s="447"/>
      <c r="S200" s="447"/>
      <c r="T200" s="447"/>
      <c r="U200" s="447"/>
      <c r="V200" s="447"/>
      <c r="W200" s="447"/>
      <c r="X200" s="447"/>
      <c r="Y200" s="447"/>
      <c r="Z200" s="447"/>
      <c r="AA200" s="447"/>
      <c r="AB200" s="447"/>
      <c r="AC200" s="447"/>
      <c r="AD200" s="447"/>
      <c r="AE200" s="447"/>
      <c r="AF200" s="447"/>
      <c r="AG200" s="447"/>
    </row>
    <row r="201" spans="1:33" s="132" customFormat="1">
      <c r="A201" s="555"/>
      <c r="H201" s="447"/>
      <c r="I201" s="447"/>
      <c r="J201" s="447"/>
      <c r="K201" s="447"/>
      <c r="L201" s="447"/>
      <c r="M201" s="447"/>
      <c r="N201" s="447"/>
      <c r="O201" s="447"/>
      <c r="P201" s="447"/>
      <c r="Q201" s="447"/>
      <c r="R201" s="447"/>
      <c r="S201" s="447"/>
      <c r="T201" s="447"/>
      <c r="U201" s="447"/>
      <c r="V201" s="447"/>
      <c r="W201" s="447"/>
      <c r="X201" s="447"/>
      <c r="Y201" s="447"/>
      <c r="Z201" s="447"/>
      <c r="AA201" s="447"/>
      <c r="AB201" s="447"/>
      <c r="AC201" s="447"/>
      <c r="AD201" s="447"/>
      <c r="AE201" s="447"/>
      <c r="AF201" s="447"/>
      <c r="AG201" s="447"/>
    </row>
    <row r="202" spans="1:33" s="132" customFormat="1">
      <c r="A202" s="555"/>
      <c r="H202" s="447"/>
      <c r="I202" s="447"/>
      <c r="J202" s="447"/>
      <c r="K202" s="447"/>
      <c r="L202" s="447"/>
      <c r="M202" s="447"/>
      <c r="N202" s="447"/>
      <c r="O202" s="447"/>
      <c r="P202" s="447"/>
      <c r="Q202" s="447"/>
      <c r="R202" s="447"/>
      <c r="S202" s="447"/>
      <c r="T202" s="447"/>
      <c r="U202" s="447"/>
      <c r="V202" s="447"/>
      <c r="W202" s="447"/>
      <c r="X202" s="447"/>
      <c r="Y202" s="447"/>
      <c r="Z202" s="447"/>
      <c r="AA202" s="447"/>
      <c r="AB202" s="447"/>
      <c r="AC202" s="447"/>
      <c r="AD202" s="447"/>
      <c r="AE202" s="447"/>
      <c r="AF202" s="447"/>
      <c r="AG202" s="447"/>
    </row>
    <row r="203" spans="1:33" s="132" customFormat="1">
      <c r="A203" s="555"/>
      <c r="H203" s="447"/>
      <c r="I203" s="447"/>
      <c r="J203" s="447"/>
      <c r="K203" s="447"/>
      <c r="L203" s="447"/>
      <c r="M203" s="447"/>
      <c r="N203" s="447"/>
      <c r="O203" s="447"/>
      <c r="P203" s="447"/>
      <c r="Q203" s="447"/>
      <c r="R203" s="447"/>
      <c r="S203" s="447"/>
      <c r="T203" s="447"/>
      <c r="U203" s="447"/>
      <c r="V203" s="447"/>
      <c r="W203" s="447"/>
      <c r="X203" s="447"/>
      <c r="Y203" s="447"/>
      <c r="Z203" s="447"/>
      <c r="AA203" s="447"/>
      <c r="AB203" s="447"/>
      <c r="AC203" s="447"/>
      <c r="AD203" s="447"/>
      <c r="AE203" s="447"/>
      <c r="AF203" s="447"/>
      <c r="AG203" s="447"/>
    </row>
    <row r="204" spans="1:33" s="132" customFormat="1">
      <c r="A204" s="555"/>
      <c r="H204" s="447"/>
      <c r="I204" s="447"/>
      <c r="J204" s="447"/>
      <c r="K204" s="447"/>
      <c r="L204" s="447"/>
      <c r="M204" s="447"/>
      <c r="N204" s="447"/>
      <c r="O204" s="447"/>
      <c r="P204" s="447"/>
      <c r="Q204" s="447"/>
      <c r="R204" s="447"/>
      <c r="S204" s="447"/>
      <c r="T204" s="447"/>
      <c r="U204" s="447"/>
      <c r="V204" s="447"/>
      <c r="W204" s="447"/>
      <c r="X204" s="447"/>
      <c r="Y204" s="447"/>
      <c r="Z204" s="447"/>
      <c r="AA204" s="447"/>
      <c r="AB204" s="447"/>
      <c r="AC204" s="447"/>
      <c r="AD204" s="447"/>
      <c r="AE204" s="447"/>
      <c r="AF204" s="447"/>
      <c r="AG204" s="447"/>
    </row>
    <row r="205" spans="1:33" s="132" customFormat="1">
      <c r="A205" s="555"/>
      <c r="H205" s="447"/>
      <c r="I205" s="447"/>
      <c r="J205" s="447"/>
      <c r="K205" s="447"/>
      <c r="L205" s="447"/>
      <c r="M205" s="447"/>
      <c r="N205" s="447"/>
      <c r="O205" s="447"/>
      <c r="P205" s="447"/>
      <c r="Q205" s="447"/>
      <c r="R205" s="447"/>
      <c r="S205" s="447"/>
      <c r="T205" s="447"/>
      <c r="U205" s="447"/>
      <c r="V205" s="447"/>
      <c r="W205" s="447"/>
      <c r="X205" s="447"/>
      <c r="Y205" s="447"/>
      <c r="Z205" s="447"/>
      <c r="AA205" s="447"/>
      <c r="AB205" s="447"/>
      <c r="AC205" s="447"/>
      <c r="AD205" s="447"/>
      <c r="AE205" s="447"/>
      <c r="AF205" s="447"/>
      <c r="AG205" s="447"/>
    </row>
    <row r="206" spans="1:33" s="132" customFormat="1">
      <c r="A206" s="555"/>
      <c r="H206" s="447"/>
      <c r="I206" s="447"/>
      <c r="J206" s="447"/>
      <c r="K206" s="447"/>
      <c r="L206" s="447"/>
      <c r="M206" s="447"/>
      <c r="N206" s="447"/>
      <c r="O206" s="447"/>
      <c r="P206" s="447"/>
      <c r="Q206" s="447"/>
      <c r="R206" s="447"/>
      <c r="S206" s="447"/>
      <c r="T206" s="447"/>
      <c r="U206" s="447"/>
      <c r="V206" s="447"/>
      <c r="W206" s="447"/>
      <c r="X206" s="447"/>
      <c r="Y206" s="447"/>
      <c r="Z206" s="447"/>
      <c r="AA206" s="447"/>
      <c r="AB206" s="447"/>
      <c r="AC206" s="447"/>
      <c r="AD206" s="447"/>
      <c r="AE206" s="447"/>
      <c r="AF206" s="447"/>
      <c r="AG206" s="447"/>
    </row>
    <row r="207" spans="1:33" s="132" customFormat="1">
      <c r="A207" s="555"/>
      <c r="H207" s="447"/>
      <c r="I207" s="447"/>
      <c r="J207" s="447"/>
      <c r="K207" s="447"/>
      <c r="L207" s="447"/>
      <c r="M207" s="447"/>
      <c r="N207" s="447"/>
      <c r="O207" s="447"/>
      <c r="P207" s="447"/>
      <c r="Q207" s="447"/>
      <c r="R207" s="447"/>
      <c r="S207" s="447"/>
      <c r="T207" s="447"/>
      <c r="U207" s="447"/>
      <c r="V207" s="447"/>
      <c r="W207" s="447"/>
      <c r="X207" s="447"/>
      <c r="Y207" s="447"/>
      <c r="Z207" s="447"/>
      <c r="AA207" s="447"/>
      <c r="AB207" s="447"/>
      <c r="AC207" s="447"/>
      <c r="AD207" s="447"/>
      <c r="AE207" s="447"/>
      <c r="AF207" s="447"/>
      <c r="AG207" s="447"/>
    </row>
    <row r="208" spans="1:33" s="132" customFormat="1">
      <c r="A208" s="555"/>
      <c r="H208" s="447"/>
      <c r="I208" s="447"/>
      <c r="J208" s="447"/>
      <c r="K208" s="447"/>
      <c r="L208" s="447"/>
      <c r="M208" s="447"/>
      <c r="N208" s="447"/>
      <c r="O208" s="447"/>
      <c r="P208" s="447"/>
      <c r="Q208" s="447"/>
      <c r="R208" s="447"/>
      <c r="S208" s="447"/>
      <c r="T208" s="447"/>
      <c r="U208" s="447"/>
      <c r="V208" s="447"/>
      <c r="W208" s="447"/>
      <c r="X208" s="447"/>
      <c r="Y208" s="447"/>
      <c r="Z208" s="447"/>
      <c r="AA208" s="447"/>
      <c r="AB208" s="447"/>
      <c r="AC208" s="447"/>
      <c r="AD208" s="447"/>
      <c r="AE208" s="447"/>
      <c r="AF208" s="447"/>
      <c r="AG208" s="447"/>
    </row>
    <row r="209" spans="1:33" s="132" customFormat="1">
      <c r="A209" s="555"/>
      <c r="H209" s="447"/>
      <c r="I209" s="447"/>
      <c r="J209" s="447"/>
      <c r="K209" s="447"/>
      <c r="L209" s="447"/>
      <c r="M209" s="447"/>
      <c r="N209" s="447"/>
      <c r="O209" s="447"/>
      <c r="P209" s="447"/>
      <c r="Q209" s="447"/>
      <c r="R209" s="447"/>
      <c r="S209" s="447"/>
      <c r="T209" s="447"/>
      <c r="U209" s="447"/>
      <c r="V209" s="447"/>
      <c r="W209" s="447"/>
      <c r="X209" s="447"/>
      <c r="Y209" s="447"/>
      <c r="Z209" s="447"/>
      <c r="AA209" s="447"/>
      <c r="AB209" s="447"/>
      <c r="AC209" s="447"/>
      <c r="AD209" s="447"/>
      <c r="AE209" s="447"/>
      <c r="AF209" s="447"/>
      <c r="AG209" s="447"/>
    </row>
    <row r="210" spans="1:33" s="132" customFormat="1">
      <c r="A210" s="555"/>
      <c r="H210" s="447"/>
      <c r="I210" s="447"/>
      <c r="J210" s="447"/>
      <c r="K210" s="447"/>
      <c r="L210" s="447"/>
      <c r="M210" s="447"/>
      <c r="N210" s="447"/>
      <c r="O210" s="447"/>
      <c r="P210" s="447"/>
      <c r="Q210" s="447"/>
      <c r="R210" s="447"/>
      <c r="S210" s="447"/>
      <c r="T210" s="447"/>
      <c r="U210" s="447"/>
      <c r="V210" s="447"/>
      <c r="W210" s="447"/>
      <c r="X210" s="447"/>
      <c r="Y210" s="447"/>
      <c r="Z210" s="447"/>
      <c r="AA210" s="447"/>
      <c r="AB210" s="447"/>
      <c r="AC210" s="447"/>
      <c r="AD210" s="447"/>
      <c r="AE210" s="447"/>
      <c r="AF210" s="447"/>
      <c r="AG210" s="447"/>
    </row>
    <row r="211" spans="1:33" s="132" customFormat="1">
      <c r="A211" s="555"/>
      <c r="H211" s="447"/>
      <c r="I211" s="447"/>
      <c r="J211" s="447"/>
      <c r="K211" s="447"/>
      <c r="L211" s="447"/>
      <c r="M211" s="447"/>
      <c r="N211" s="447"/>
      <c r="O211" s="447"/>
      <c r="P211" s="447"/>
      <c r="Q211" s="447"/>
      <c r="R211" s="447"/>
      <c r="S211" s="447"/>
      <c r="T211" s="447"/>
      <c r="U211" s="447"/>
      <c r="V211" s="447"/>
      <c r="W211" s="447"/>
      <c r="X211" s="447"/>
      <c r="Y211" s="447"/>
      <c r="Z211" s="447"/>
      <c r="AA211" s="447"/>
      <c r="AB211" s="447"/>
      <c r="AC211" s="447"/>
      <c r="AD211" s="447"/>
      <c r="AE211" s="447"/>
      <c r="AF211" s="447"/>
      <c r="AG211" s="447"/>
    </row>
    <row r="212" spans="1:33" s="132" customFormat="1">
      <c r="A212" s="555"/>
      <c r="H212" s="447"/>
      <c r="I212" s="447"/>
      <c r="J212" s="447"/>
      <c r="K212" s="447"/>
      <c r="L212" s="447"/>
      <c r="M212" s="447"/>
      <c r="N212" s="447"/>
      <c r="O212" s="447"/>
      <c r="P212" s="447"/>
      <c r="Q212" s="447"/>
      <c r="R212" s="447"/>
      <c r="S212" s="447"/>
      <c r="T212" s="447"/>
      <c r="U212" s="447"/>
      <c r="V212" s="447"/>
      <c r="W212" s="447"/>
      <c r="X212" s="447"/>
      <c r="Y212" s="447"/>
      <c r="Z212" s="447"/>
      <c r="AA212" s="447"/>
      <c r="AB212" s="447"/>
      <c r="AC212" s="447"/>
      <c r="AD212" s="447"/>
      <c r="AE212" s="447"/>
      <c r="AF212" s="447"/>
      <c r="AG212" s="447"/>
    </row>
    <row r="213" spans="1:33" s="132" customFormat="1">
      <c r="A213" s="555"/>
      <c r="H213" s="447"/>
      <c r="I213" s="447"/>
      <c r="J213" s="447"/>
      <c r="K213" s="447"/>
      <c r="L213" s="447"/>
      <c r="M213" s="447"/>
      <c r="N213" s="447"/>
      <c r="O213" s="447"/>
      <c r="P213" s="447"/>
      <c r="Q213" s="447"/>
      <c r="R213" s="447"/>
      <c r="S213" s="447"/>
      <c r="T213" s="447"/>
      <c r="U213" s="447"/>
      <c r="V213" s="447"/>
      <c r="W213" s="447"/>
      <c r="X213" s="447"/>
      <c r="Y213" s="447"/>
      <c r="Z213" s="447"/>
      <c r="AA213" s="447"/>
      <c r="AB213" s="447"/>
      <c r="AC213" s="447"/>
      <c r="AD213" s="447"/>
      <c r="AE213" s="447"/>
      <c r="AF213" s="447"/>
      <c r="AG213" s="447"/>
    </row>
    <row r="214" spans="1:33" s="132" customFormat="1">
      <c r="A214" s="555"/>
      <c r="H214" s="447"/>
      <c r="I214" s="447"/>
      <c r="J214" s="447"/>
      <c r="K214" s="447"/>
      <c r="L214" s="447"/>
      <c r="M214" s="447"/>
      <c r="N214" s="447"/>
      <c r="O214" s="447"/>
      <c r="P214" s="447"/>
      <c r="Q214" s="447"/>
      <c r="R214" s="447"/>
      <c r="S214" s="447"/>
      <c r="T214" s="447"/>
      <c r="U214" s="447"/>
      <c r="V214" s="447"/>
      <c r="W214" s="447"/>
      <c r="X214" s="447"/>
      <c r="Y214" s="447"/>
      <c r="Z214" s="447"/>
      <c r="AA214" s="447"/>
      <c r="AB214" s="447"/>
      <c r="AC214" s="447"/>
      <c r="AD214" s="447"/>
      <c r="AE214" s="447"/>
      <c r="AF214" s="447"/>
      <c r="AG214" s="447"/>
    </row>
    <row r="215" spans="1:33" s="132" customFormat="1">
      <c r="A215" s="555"/>
      <c r="H215" s="447"/>
      <c r="I215" s="447"/>
      <c r="J215" s="447"/>
      <c r="K215" s="447"/>
      <c r="L215" s="447"/>
      <c r="M215" s="447"/>
      <c r="N215" s="447"/>
      <c r="O215" s="447"/>
      <c r="P215" s="447"/>
      <c r="Q215" s="447"/>
      <c r="R215" s="447"/>
      <c r="S215" s="447"/>
      <c r="T215" s="447"/>
      <c r="U215" s="447"/>
      <c r="V215" s="447"/>
      <c r="W215" s="447"/>
      <c r="X215" s="447"/>
      <c r="Y215" s="447"/>
      <c r="Z215" s="447"/>
      <c r="AA215" s="447"/>
      <c r="AB215" s="447"/>
      <c r="AC215" s="447"/>
      <c r="AD215" s="447"/>
      <c r="AE215" s="447"/>
      <c r="AF215" s="447"/>
      <c r="AG215" s="447"/>
    </row>
    <row r="216" spans="1:33" s="132" customFormat="1">
      <c r="A216" s="555"/>
      <c r="H216" s="447"/>
      <c r="I216" s="447"/>
      <c r="J216" s="447"/>
      <c r="K216" s="447"/>
      <c r="L216" s="447"/>
      <c r="M216" s="447"/>
      <c r="N216" s="447"/>
      <c r="O216" s="447"/>
      <c r="P216" s="447"/>
      <c r="Q216" s="447"/>
      <c r="R216" s="447"/>
      <c r="S216" s="447"/>
      <c r="T216" s="447"/>
      <c r="U216" s="447"/>
      <c r="V216" s="447"/>
      <c r="W216" s="447"/>
      <c r="X216" s="447"/>
      <c r="Y216" s="447"/>
      <c r="Z216" s="447"/>
      <c r="AA216" s="447"/>
      <c r="AB216" s="447"/>
      <c r="AC216" s="447"/>
      <c r="AD216" s="447"/>
      <c r="AE216" s="447"/>
      <c r="AF216" s="447"/>
      <c r="AG216" s="447"/>
    </row>
    <row r="217" spans="1:33" s="132" customFormat="1">
      <c r="A217" s="555"/>
      <c r="H217" s="447"/>
      <c r="I217" s="447"/>
      <c r="J217" s="447"/>
      <c r="K217" s="447"/>
      <c r="L217" s="447"/>
      <c r="M217" s="447"/>
      <c r="N217" s="447"/>
      <c r="O217" s="447"/>
      <c r="P217" s="447"/>
      <c r="Q217" s="447"/>
      <c r="R217" s="447"/>
      <c r="S217" s="447"/>
      <c r="T217" s="447"/>
      <c r="U217" s="447"/>
      <c r="V217" s="447"/>
      <c r="W217" s="447"/>
      <c r="X217" s="447"/>
      <c r="Y217" s="447"/>
      <c r="Z217" s="447"/>
      <c r="AA217" s="447"/>
      <c r="AB217" s="447"/>
      <c r="AC217" s="447"/>
      <c r="AD217" s="447"/>
      <c r="AE217" s="447"/>
      <c r="AF217" s="447"/>
      <c r="AG217" s="447"/>
    </row>
    <row r="218" spans="1:33" s="132" customFormat="1">
      <c r="A218" s="555"/>
      <c r="H218" s="447"/>
      <c r="I218" s="447"/>
      <c r="J218" s="447"/>
      <c r="K218" s="447"/>
      <c r="L218" s="447"/>
      <c r="M218" s="447"/>
      <c r="N218" s="447"/>
      <c r="O218" s="447"/>
      <c r="P218" s="447"/>
      <c r="Q218" s="447"/>
      <c r="R218" s="447"/>
      <c r="S218" s="447"/>
      <c r="T218" s="447"/>
      <c r="U218" s="447"/>
      <c r="V218" s="447"/>
      <c r="W218" s="447"/>
      <c r="X218" s="447"/>
      <c r="Y218" s="447"/>
      <c r="Z218" s="447"/>
      <c r="AA218" s="447"/>
      <c r="AB218" s="447"/>
      <c r="AC218" s="447"/>
      <c r="AD218" s="447"/>
      <c r="AE218" s="447"/>
      <c r="AF218" s="447"/>
      <c r="AG218" s="447"/>
    </row>
    <row r="219" spans="1:33" s="132" customFormat="1">
      <c r="A219" s="555"/>
      <c r="H219" s="447"/>
      <c r="I219" s="447"/>
      <c r="J219" s="447"/>
      <c r="K219" s="447"/>
      <c r="L219" s="447"/>
      <c r="M219" s="447"/>
      <c r="N219" s="447"/>
      <c r="O219" s="447"/>
      <c r="P219" s="447"/>
      <c r="Q219" s="447"/>
      <c r="R219" s="447"/>
      <c r="S219" s="447"/>
      <c r="T219" s="447"/>
      <c r="U219" s="447"/>
      <c r="V219" s="447"/>
      <c r="W219" s="447"/>
      <c r="X219" s="447"/>
      <c r="Y219" s="447"/>
      <c r="Z219" s="447"/>
      <c r="AA219" s="447"/>
      <c r="AB219" s="447"/>
      <c r="AC219" s="447"/>
      <c r="AD219" s="447"/>
      <c r="AE219" s="447"/>
      <c r="AF219" s="447"/>
      <c r="AG219" s="447"/>
    </row>
    <row r="220" spans="1:33" s="132" customFormat="1">
      <c r="A220" s="555"/>
      <c r="H220" s="447"/>
      <c r="I220" s="447"/>
      <c r="J220" s="447"/>
      <c r="K220" s="447"/>
      <c r="L220" s="447"/>
      <c r="M220" s="447"/>
      <c r="N220" s="447"/>
      <c r="O220" s="447"/>
      <c r="P220" s="447"/>
      <c r="Q220" s="447"/>
      <c r="R220" s="447"/>
      <c r="S220" s="447"/>
      <c r="T220" s="447"/>
      <c r="U220" s="447"/>
      <c r="V220" s="447"/>
      <c r="W220" s="447"/>
      <c r="X220" s="447"/>
      <c r="Y220" s="447"/>
      <c r="Z220" s="447"/>
      <c r="AA220" s="447"/>
      <c r="AB220" s="447"/>
      <c r="AC220" s="447"/>
      <c r="AD220" s="447"/>
      <c r="AE220" s="447"/>
      <c r="AF220" s="447"/>
      <c r="AG220" s="447"/>
    </row>
    <row r="221" spans="1:33" s="132" customFormat="1">
      <c r="A221" s="555"/>
      <c r="H221" s="447"/>
      <c r="I221" s="447"/>
      <c r="J221" s="447"/>
      <c r="K221" s="447"/>
      <c r="L221" s="447"/>
      <c r="M221" s="447"/>
      <c r="N221" s="447"/>
      <c r="O221" s="447"/>
      <c r="P221" s="447"/>
      <c r="Q221" s="447"/>
      <c r="R221" s="447"/>
      <c r="S221" s="447"/>
      <c r="T221" s="447"/>
      <c r="U221" s="447"/>
      <c r="V221" s="447"/>
      <c r="W221" s="447"/>
      <c r="X221" s="447"/>
      <c r="Y221" s="447"/>
      <c r="Z221" s="447"/>
      <c r="AA221" s="447"/>
      <c r="AB221" s="447"/>
      <c r="AC221" s="447"/>
      <c r="AD221" s="447"/>
      <c r="AE221" s="447"/>
      <c r="AF221" s="447"/>
      <c r="AG221" s="447"/>
    </row>
    <row r="222" spans="1:33" s="132" customFormat="1">
      <c r="A222" s="555"/>
      <c r="H222" s="447"/>
      <c r="I222" s="447"/>
      <c r="J222" s="447"/>
      <c r="K222" s="447"/>
      <c r="L222" s="447"/>
      <c r="M222" s="447"/>
      <c r="N222" s="447"/>
      <c r="O222" s="447"/>
      <c r="P222" s="447"/>
      <c r="Q222" s="447"/>
      <c r="R222" s="447"/>
      <c r="S222" s="447"/>
      <c r="T222" s="447"/>
      <c r="U222" s="447"/>
      <c r="V222" s="447"/>
      <c r="W222" s="447"/>
      <c r="X222" s="447"/>
      <c r="Y222" s="447"/>
      <c r="Z222" s="447"/>
      <c r="AA222" s="447"/>
      <c r="AB222" s="447"/>
      <c r="AC222" s="447"/>
      <c r="AD222" s="447"/>
      <c r="AE222" s="447"/>
      <c r="AF222" s="447"/>
      <c r="AG222" s="447"/>
    </row>
    <row r="223" spans="1:33" s="132" customFormat="1">
      <c r="A223" s="555"/>
      <c r="H223" s="447"/>
      <c r="I223" s="447"/>
      <c r="J223" s="447"/>
      <c r="K223" s="447"/>
      <c r="L223" s="447"/>
      <c r="M223" s="447"/>
      <c r="N223" s="447"/>
      <c r="O223" s="447"/>
      <c r="P223" s="447"/>
      <c r="Q223" s="447"/>
      <c r="R223" s="447"/>
      <c r="S223" s="447"/>
      <c r="T223" s="447"/>
      <c r="U223" s="447"/>
      <c r="V223" s="447"/>
      <c r="W223" s="447"/>
      <c r="X223" s="447"/>
      <c r="Y223" s="447"/>
      <c r="Z223" s="447"/>
      <c r="AA223" s="447"/>
      <c r="AB223" s="447"/>
      <c r="AC223" s="447"/>
      <c r="AD223" s="447"/>
      <c r="AE223" s="447"/>
      <c r="AF223" s="447"/>
      <c r="AG223" s="447"/>
    </row>
    <row r="224" spans="1:33" s="132" customFormat="1">
      <c r="A224" s="555"/>
      <c r="H224" s="447"/>
      <c r="I224" s="447"/>
      <c r="J224" s="447"/>
      <c r="K224" s="447"/>
      <c r="L224" s="447"/>
      <c r="M224" s="447"/>
      <c r="N224" s="447"/>
      <c r="O224" s="447"/>
      <c r="P224" s="447"/>
      <c r="Q224" s="447"/>
      <c r="R224" s="447"/>
      <c r="S224" s="447"/>
      <c r="T224" s="447"/>
      <c r="U224" s="447"/>
      <c r="V224" s="447"/>
      <c r="W224" s="447"/>
      <c r="X224" s="447"/>
      <c r="Y224" s="447"/>
      <c r="Z224" s="447"/>
      <c r="AA224" s="447"/>
      <c r="AB224" s="447"/>
      <c r="AC224" s="447"/>
      <c r="AD224" s="447"/>
      <c r="AE224" s="447"/>
      <c r="AF224" s="447"/>
      <c r="AG224" s="447"/>
    </row>
    <row r="225" spans="1:33" s="132" customFormat="1">
      <c r="A225" s="555"/>
      <c r="H225" s="447"/>
      <c r="I225" s="447"/>
      <c r="J225" s="447"/>
      <c r="K225" s="447"/>
      <c r="L225" s="447"/>
      <c r="M225" s="447"/>
      <c r="N225" s="447"/>
      <c r="O225" s="447"/>
      <c r="P225" s="447"/>
      <c r="Q225" s="447"/>
      <c r="R225" s="447"/>
      <c r="S225" s="447"/>
      <c r="T225" s="447"/>
      <c r="U225" s="447"/>
      <c r="V225" s="447"/>
      <c r="W225" s="447"/>
      <c r="X225" s="447"/>
      <c r="Y225" s="447"/>
      <c r="Z225" s="447"/>
      <c r="AA225" s="447"/>
      <c r="AB225" s="447"/>
      <c r="AC225" s="447"/>
      <c r="AD225" s="447"/>
      <c r="AE225" s="447"/>
      <c r="AF225" s="447"/>
      <c r="AG225" s="447"/>
    </row>
    <row r="226" spans="1:33" s="132" customFormat="1">
      <c r="A226" s="555"/>
      <c r="H226" s="447"/>
      <c r="I226" s="447"/>
      <c r="J226" s="447"/>
      <c r="K226" s="447"/>
      <c r="L226" s="447"/>
      <c r="M226" s="447"/>
      <c r="N226" s="447"/>
      <c r="O226" s="447"/>
      <c r="P226" s="447"/>
      <c r="Q226" s="447"/>
      <c r="R226" s="447"/>
      <c r="S226" s="447"/>
      <c r="T226" s="447"/>
      <c r="U226" s="447"/>
      <c r="V226" s="447"/>
      <c r="W226" s="447"/>
      <c r="X226" s="447"/>
      <c r="Y226" s="447"/>
      <c r="Z226" s="447"/>
      <c r="AA226" s="447"/>
      <c r="AB226" s="447"/>
      <c r="AC226" s="447"/>
      <c r="AD226" s="447"/>
      <c r="AE226" s="447"/>
      <c r="AF226" s="447"/>
      <c r="AG226" s="447"/>
    </row>
    <row r="227" spans="1:33" s="132" customFormat="1">
      <c r="A227" s="555"/>
      <c r="H227" s="447"/>
      <c r="I227" s="447"/>
      <c r="J227" s="447"/>
      <c r="K227" s="447"/>
      <c r="L227" s="447"/>
      <c r="M227" s="447"/>
      <c r="N227" s="447"/>
      <c r="O227" s="447"/>
      <c r="P227" s="447"/>
      <c r="Q227" s="447"/>
      <c r="R227" s="447"/>
      <c r="S227" s="447"/>
      <c r="T227" s="447"/>
      <c r="U227" s="447"/>
      <c r="V227" s="447"/>
      <c r="W227" s="447"/>
      <c r="X227" s="447"/>
      <c r="Y227" s="447"/>
      <c r="Z227" s="447"/>
      <c r="AA227" s="447"/>
      <c r="AB227" s="447"/>
      <c r="AC227" s="447"/>
      <c r="AD227" s="447"/>
      <c r="AE227" s="447"/>
      <c r="AF227" s="447"/>
      <c r="AG227" s="447"/>
    </row>
    <row r="228" spans="1:33" s="132" customFormat="1">
      <c r="A228" s="555"/>
      <c r="H228" s="447"/>
      <c r="I228" s="447"/>
      <c r="J228" s="447"/>
      <c r="K228" s="447"/>
      <c r="L228" s="447"/>
      <c r="M228" s="447"/>
      <c r="N228" s="447"/>
      <c r="O228" s="447"/>
      <c r="P228" s="447"/>
      <c r="Q228" s="447"/>
      <c r="R228" s="447"/>
      <c r="S228" s="447"/>
      <c r="T228" s="447"/>
      <c r="U228" s="447"/>
      <c r="V228" s="447"/>
      <c r="W228" s="447"/>
      <c r="X228" s="447"/>
      <c r="Y228" s="447"/>
      <c r="Z228" s="447"/>
      <c r="AA228" s="447"/>
      <c r="AB228" s="447"/>
      <c r="AC228" s="447"/>
      <c r="AD228" s="447"/>
      <c r="AE228" s="447"/>
      <c r="AF228" s="447"/>
      <c r="AG228" s="447"/>
    </row>
    <row r="229" spans="1:33" s="132" customFormat="1">
      <c r="A229" s="555"/>
      <c r="H229" s="447"/>
      <c r="I229" s="447"/>
      <c r="J229" s="447"/>
      <c r="K229" s="447"/>
      <c r="L229" s="447"/>
      <c r="M229" s="447"/>
      <c r="N229" s="447"/>
      <c r="O229" s="447"/>
      <c r="P229" s="447"/>
      <c r="Q229" s="447"/>
      <c r="R229" s="447"/>
      <c r="S229" s="447"/>
      <c r="T229" s="447"/>
      <c r="U229" s="447"/>
      <c r="V229" s="447"/>
      <c r="W229" s="447"/>
      <c r="X229" s="447"/>
      <c r="Y229" s="447"/>
      <c r="Z229" s="447"/>
      <c r="AA229" s="447"/>
      <c r="AB229" s="447"/>
      <c r="AC229" s="447"/>
      <c r="AD229" s="447"/>
      <c r="AE229" s="447"/>
      <c r="AF229" s="447"/>
      <c r="AG229" s="447"/>
    </row>
    <row r="230" spans="1:33" s="132" customFormat="1">
      <c r="A230" s="555"/>
      <c r="H230" s="447"/>
      <c r="I230" s="447"/>
      <c r="J230" s="447"/>
      <c r="K230" s="447"/>
      <c r="L230" s="447"/>
      <c r="M230" s="447"/>
      <c r="N230" s="447"/>
      <c r="O230" s="447"/>
      <c r="P230" s="447"/>
      <c r="Q230" s="447"/>
      <c r="R230" s="447"/>
      <c r="S230" s="447"/>
      <c r="T230" s="447"/>
      <c r="U230" s="447"/>
      <c r="V230" s="447"/>
      <c r="W230" s="447"/>
      <c r="X230" s="447"/>
      <c r="Y230" s="447"/>
      <c r="Z230" s="447"/>
      <c r="AA230" s="447"/>
      <c r="AB230" s="447"/>
      <c r="AC230" s="447"/>
      <c r="AD230" s="447"/>
      <c r="AE230" s="447"/>
      <c r="AF230" s="447"/>
      <c r="AG230" s="447"/>
    </row>
    <row r="231" spans="1:33" s="132" customFormat="1">
      <c r="A231" s="555"/>
      <c r="H231" s="447"/>
      <c r="I231" s="447"/>
      <c r="J231" s="447"/>
      <c r="K231" s="447"/>
      <c r="L231" s="447"/>
      <c r="M231" s="447"/>
      <c r="N231" s="447"/>
      <c r="O231" s="447"/>
      <c r="P231" s="447"/>
      <c r="Q231" s="447"/>
      <c r="R231" s="447"/>
      <c r="S231" s="447"/>
      <c r="T231" s="447"/>
      <c r="U231" s="447"/>
      <c r="V231" s="447"/>
      <c r="W231" s="447"/>
      <c r="X231" s="447"/>
      <c r="Y231" s="447"/>
      <c r="Z231" s="447"/>
      <c r="AA231" s="447"/>
      <c r="AB231" s="447"/>
      <c r="AC231" s="447"/>
      <c r="AD231" s="447"/>
      <c r="AE231" s="447"/>
      <c r="AF231" s="447"/>
      <c r="AG231" s="447"/>
    </row>
    <row r="232" spans="1:33" s="132" customFormat="1">
      <c r="A232" s="555"/>
      <c r="H232" s="447"/>
      <c r="I232" s="447"/>
      <c r="J232" s="447"/>
      <c r="K232" s="447"/>
      <c r="L232" s="447"/>
      <c r="M232" s="447"/>
      <c r="N232" s="447"/>
      <c r="O232" s="447"/>
      <c r="P232" s="447"/>
      <c r="Q232" s="447"/>
      <c r="R232" s="447"/>
      <c r="S232" s="447"/>
      <c r="T232" s="447"/>
      <c r="U232" s="447"/>
      <c r="V232" s="447"/>
      <c r="W232" s="447"/>
      <c r="X232" s="447"/>
      <c r="Y232" s="447"/>
      <c r="Z232" s="447"/>
      <c r="AA232" s="447"/>
      <c r="AB232" s="447"/>
      <c r="AC232" s="447"/>
      <c r="AD232" s="447"/>
      <c r="AE232" s="447"/>
      <c r="AF232" s="447"/>
      <c r="AG232" s="447"/>
    </row>
    <row r="233" spans="1:33" s="132" customFormat="1">
      <c r="A233" s="555"/>
      <c r="H233" s="447"/>
      <c r="I233" s="447"/>
      <c r="J233" s="447"/>
      <c r="K233" s="447"/>
      <c r="L233" s="447"/>
      <c r="M233" s="447"/>
      <c r="N233" s="447"/>
      <c r="O233" s="447"/>
      <c r="P233" s="447"/>
      <c r="Q233" s="447"/>
      <c r="R233" s="447"/>
      <c r="S233" s="447"/>
      <c r="T233" s="447"/>
      <c r="U233" s="447"/>
      <c r="V233" s="447"/>
      <c r="W233" s="447"/>
      <c r="X233" s="447"/>
      <c r="Y233" s="447"/>
      <c r="Z233" s="447"/>
      <c r="AA233" s="447"/>
      <c r="AB233" s="447"/>
      <c r="AC233" s="447"/>
      <c r="AD233" s="447"/>
      <c r="AE233" s="447"/>
      <c r="AF233" s="447"/>
      <c r="AG233" s="447"/>
    </row>
    <row r="234" spans="1:33" s="132" customFormat="1">
      <c r="A234" s="555"/>
      <c r="H234" s="447"/>
      <c r="I234" s="447"/>
      <c r="J234" s="447"/>
      <c r="K234" s="447"/>
      <c r="L234" s="447"/>
      <c r="M234" s="447"/>
      <c r="N234" s="447"/>
      <c r="O234" s="447"/>
      <c r="P234" s="447"/>
      <c r="Q234" s="447"/>
      <c r="R234" s="447"/>
      <c r="S234" s="447"/>
      <c r="T234" s="447"/>
      <c r="U234" s="447"/>
      <c r="V234" s="447"/>
      <c r="W234" s="447"/>
      <c r="X234" s="447"/>
      <c r="Y234" s="447"/>
      <c r="Z234" s="447"/>
      <c r="AA234" s="447"/>
      <c r="AB234" s="447"/>
      <c r="AC234" s="447"/>
      <c r="AD234" s="447"/>
      <c r="AE234" s="447"/>
      <c r="AF234" s="447"/>
      <c r="AG234" s="447"/>
    </row>
    <row r="235" spans="1:33" s="132" customFormat="1">
      <c r="A235" s="555"/>
      <c r="H235" s="447"/>
      <c r="I235" s="447"/>
      <c r="J235" s="447"/>
      <c r="K235" s="447"/>
      <c r="L235" s="447"/>
      <c r="M235" s="447"/>
      <c r="N235" s="447"/>
      <c r="O235" s="447"/>
      <c r="P235" s="447"/>
      <c r="Q235" s="447"/>
      <c r="R235" s="447"/>
      <c r="S235" s="447"/>
      <c r="T235" s="447"/>
      <c r="U235" s="447"/>
      <c r="V235" s="447"/>
      <c r="W235" s="447"/>
      <c r="X235" s="447"/>
      <c r="Y235" s="447"/>
      <c r="Z235" s="447"/>
      <c r="AA235" s="447"/>
      <c r="AB235" s="447"/>
      <c r="AC235" s="447"/>
      <c r="AD235" s="447"/>
      <c r="AE235" s="447"/>
      <c r="AF235" s="447"/>
      <c r="AG235" s="447"/>
    </row>
    <row r="236" spans="1:33" s="132" customFormat="1">
      <c r="A236" s="555"/>
      <c r="H236" s="447"/>
      <c r="I236" s="447"/>
      <c r="J236" s="447"/>
      <c r="K236" s="447"/>
      <c r="L236" s="447"/>
      <c r="M236" s="447"/>
      <c r="N236" s="447"/>
      <c r="O236" s="447"/>
      <c r="P236" s="447"/>
      <c r="Q236" s="447"/>
      <c r="R236" s="447"/>
      <c r="S236" s="447"/>
      <c r="T236" s="447"/>
      <c r="U236" s="447"/>
      <c r="V236" s="447"/>
      <c r="W236" s="447"/>
      <c r="X236" s="447"/>
      <c r="Y236" s="447"/>
      <c r="Z236" s="447"/>
      <c r="AA236" s="447"/>
      <c r="AB236" s="447"/>
      <c r="AC236" s="447"/>
      <c r="AD236" s="447"/>
      <c r="AE236" s="447"/>
      <c r="AF236" s="447"/>
      <c r="AG236" s="447"/>
    </row>
    <row r="237" spans="1:33" s="132" customFormat="1">
      <c r="A237" s="555"/>
      <c r="H237" s="447"/>
      <c r="I237" s="447"/>
      <c r="J237" s="447"/>
      <c r="K237" s="447"/>
      <c r="L237" s="447"/>
      <c r="M237" s="447"/>
      <c r="N237" s="447"/>
      <c r="O237" s="447"/>
      <c r="P237" s="447"/>
      <c r="Q237" s="447"/>
      <c r="R237" s="447"/>
      <c r="S237" s="447"/>
      <c r="T237" s="447"/>
      <c r="U237" s="447"/>
      <c r="V237" s="447"/>
      <c r="W237" s="447"/>
      <c r="X237" s="447"/>
      <c r="Y237" s="447"/>
      <c r="Z237" s="447"/>
      <c r="AA237" s="447"/>
      <c r="AB237" s="447"/>
      <c r="AC237" s="447"/>
      <c r="AD237" s="447"/>
      <c r="AE237" s="447"/>
      <c r="AF237" s="447"/>
      <c r="AG237" s="447"/>
    </row>
    <row r="238" spans="1:33" s="132" customFormat="1">
      <c r="A238" s="555"/>
      <c r="H238" s="447"/>
      <c r="I238" s="447"/>
      <c r="J238" s="447"/>
      <c r="K238" s="447"/>
      <c r="L238" s="447"/>
      <c r="M238" s="447"/>
      <c r="N238" s="447"/>
      <c r="O238" s="447"/>
      <c r="P238" s="447"/>
      <c r="Q238" s="447"/>
      <c r="R238" s="447"/>
      <c r="S238" s="447"/>
      <c r="T238" s="447"/>
      <c r="U238" s="447"/>
      <c r="V238" s="447"/>
      <c r="W238" s="447"/>
      <c r="X238" s="447"/>
      <c r="Y238" s="447"/>
      <c r="Z238" s="447"/>
      <c r="AA238" s="447"/>
      <c r="AB238" s="447"/>
      <c r="AC238" s="447"/>
      <c r="AD238" s="447"/>
      <c r="AE238" s="447"/>
      <c r="AF238" s="447"/>
      <c r="AG238" s="447"/>
    </row>
    <row r="239" spans="1:33" s="132" customFormat="1">
      <c r="A239" s="555"/>
      <c r="H239" s="447"/>
      <c r="I239" s="447"/>
      <c r="J239" s="447"/>
      <c r="K239" s="447"/>
      <c r="L239" s="447"/>
      <c r="M239" s="447"/>
      <c r="N239" s="447"/>
      <c r="O239" s="447"/>
      <c r="P239" s="447"/>
      <c r="Q239" s="447"/>
      <c r="R239" s="447"/>
      <c r="S239" s="447"/>
      <c r="T239" s="447"/>
      <c r="U239" s="447"/>
      <c r="V239" s="447"/>
      <c r="W239" s="447"/>
      <c r="X239" s="447"/>
      <c r="Y239" s="447"/>
      <c r="Z239" s="447"/>
      <c r="AA239" s="447"/>
      <c r="AB239" s="447"/>
      <c r="AC239" s="447"/>
      <c r="AD239" s="447"/>
      <c r="AE239" s="447"/>
      <c r="AF239" s="447"/>
      <c r="AG239" s="447"/>
    </row>
    <row r="240" spans="1:33" s="132" customFormat="1">
      <c r="A240" s="555"/>
      <c r="H240" s="447"/>
      <c r="I240" s="447"/>
      <c r="J240" s="447"/>
      <c r="K240" s="447"/>
      <c r="L240" s="447"/>
      <c r="M240" s="447"/>
      <c r="N240" s="447"/>
      <c r="O240" s="447"/>
      <c r="P240" s="447"/>
      <c r="Q240" s="447"/>
      <c r="R240" s="447"/>
      <c r="S240" s="447"/>
      <c r="T240" s="447"/>
      <c r="U240" s="447"/>
      <c r="V240" s="447"/>
      <c r="W240" s="447"/>
      <c r="X240" s="447"/>
      <c r="Y240" s="447"/>
      <c r="Z240" s="447"/>
      <c r="AA240" s="447"/>
      <c r="AB240" s="447"/>
      <c r="AC240" s="447"/>
      <c r="AD240" s="447"/>
      <c r="AE240" s="447"/>
      <c r="AF240" s="447"/>
      <c r="AG240" s="447"/>
    </row>
    <row r="241" spans="1:33" s="132" customFormat="1">
      <c r="A241" s="555"/>
      <c r="H241" s="447"/>
      <c r="I241" s="447"/>
      <c r="J241" s="447"/>
      <c r="K241" s="447"/>
      <c r="L241" s="447"/>
      <c r="M241" s="447"/>
      <c r="N241" s="447"/>
      <c r="O241" s="447"/>
      <c r="P241" s="447"/>
      <c r="Q241" s="447"/>
      <c r="R241" s="447"/>
      <c r="S241" s="447"/>
      <c r="T241" s="447"/>
      <c r="U241" s="447"/>
      <c r="V241" s="447"/>
      <c r="W241" s="447"/>
      <c r="X241" s="447"/>
      <c r="Y241" s="447"/>
      <c r="Z241" s="447"/>
      <c r="AA241" s="447"/>
      <c r="AB241" s="447"/>
      <c r="AC241" s="447"/>
      <c r="AD241" s="447"/>
      <c r="AE241" s="447"/>
      <c r="AF241" s="447"/>
      <c r="AG241" s="447"/>
    </row>
    <row r="242" spans="1:33" s="132" customFormat="1">
      <c r="A242" s="555"/>
      <c r="H242" s="447"/>
      <c r="I242" s="447"/>
      <c r="J242" s="447"/>
      <c r="K242" s="447"/>
      <c r="L242" s="447"/>
      <c r="M242" s="447"/>
      <c r="N242" s="447"/>
      <c r="O242" s="447"/>
      <c r="P242" s="447"/>
      <c r="Q242" s="447"/>
      <c r="R242" s="447"/>
      <c r="S242" s="447"/>
      <c r="T242" s="447"/>
      <c r="U242" s="447"/>
      <c r="V242" s="447"/>
      <c r="W242" s="447"/>
      <c r="X242" s="447"/>
      <c r="Y242" s="447"/>
      <c r="Z242" s="447"/>
      <c r="AA242" s="447"/>
      <c r="AB242" s="447"/>
      <c r="AC242" s="447"/>
      <c r="AD242" s="447"/>
      <c r="AE242" s="447"/>
      <c r="AF242" s="447"/>
      <c r="AG242" s="447"/>
    </row>
    <row r="243" spans="1:33" s="132" customFormat="1">
      <c r="A243" s="555"/>
      <c r="H243" s="447"/>
      <c r="I243" s="447"/>
      <c r="J243" s="447"/>
      <c r="K243" s="447"/>
      <c r="L243" s="447"/>
      <c r="M243" s="447"/>
      <c r="N243" s="447"/>
      <c r="O243" s="447"/>
      <c r="P243" s="447"/>
      <c r="Q243" s="447"/>
      <c r="R243" s="447"/>
      <c r="S243" s="447"/>
      <c r="T243" s="447"/>
      <c r="U243" s="447"/>
      <c r="V243" s="447"/>
      <c r="W243" s="447"/>
      <c r="X243" s="447"/>
      <c r="Y243" s="447"/>
      <c r="Z243" s="447"/>
      <c r="AA243" s="447"/>
      <c r="AB243" s="447"/>
      <c r="AC243" s="447"/>
      <c r="AD243" s="447"/>
      <c r="AE243" s="447"/>
      <c r="AF243" s="447"/>
      <c r="AG243" s="447"/>
    </row>
    <row r="244" spans="1:33" s="132" customFormat="1">
      <c r="A244" s="555"/>
      <c r="H244" s="447"/>
      <c r="I244" s="447"/>
      <c r="J244" s="447"/>
      <c r="K244" s="447"/>
      <c r="L244" s="447"/>
      <c r="M244" s="447"/>
      <c r="N244" s="447"/>
      <c r="O244" s="447"/>
      <c r="P244" s="447"/>
      <c r="Q244" s="447"/>
      <c r="R244" s="447"/>
      <c r="S244" s="447"/>
      <c r="T244" s="447"/>
      <c r="U244" s="447"/>
      <c r="V244" s="447"/>
      <c r="W244" s="447"/>
      <c r="X244" s="447"/>
      <c r="Y244" s="447"/>
      <c r="Z244" s="447"/>
      <c r="AA244" s="447"/>
      <c r="AB244" s="447"/>
      <c r="AC244" s="447"/>
      <c r="AD244" s="447"/>
      <c r="AE244" s="447"/>
      <c r="AF244" s="447"/>
      <c r="AG244" s="447"/>
    </row>
    <row r="245" spans="1:33" s="132" customFormat="1">
      <c r="A245" s="555"/>
      <c r="H245" s="447"/>
      <c r="I245" s="447"/>
      <c r="J245" s="447"/>
      <c r="K245" s="447"/>
      <c r="L245" s="447"/>
      <c r="M245" s="447"/>
      <c r="N245" s="447"/>
      <c r="O245" s="447"/>
      <c r="P245" s="447"/>
      <c r="Q245" s="447"/>
      <c r="R245" s="447"/>
      <c r="S245" s="447"/>
      <c r="T245" s="447"/>
      <c r="U245" s="447"/>
      <c r="V245" s="447"/>
      <c r="W245" s="447"/>
      <c r="X245" s="447"/>
      <c r="Y245" s="447"/>
      <c r="Z245" s="447"/>
      <c r="AA245" s="447"/>
      <c r="AB245" s="447"/>
      <c r="AC245" s="447"/>
      <c r="AD245" s="447"/>
      <c r="AE245" s="447"/>
      <c r="AF245" s="447"/>
      <c r="AG245" s="447"/>
    </row>
    <row r="246" spans="1:33" s="132" customFormat="1">
      <c r="A246" s="555"/>
      <c r="H246" s="447"/>
      <c r="I246" s="447"/>
      <c r="J246" s="447"/>
      <c r="K246" s="447"/>
      <c r="L246" s="447"/>
      <c r="M246" s="447"/>
      <c r="N246" s="447"/>
      <c r="O246" s="447"/>
      <c r="P246" s="447"/>
      <c r="Q246" s="447"/>
      <c r="R246" s="447"/>
      <c r="S246" s="447"/>
      <c r="T246" s="447"/>
      <c r="U246" s="447"/>
      <c r="V246" s="447"/>
      <c r="W246" s="447"/>
      <c r="X246" s="447"/>
      <c r="Y246" s="447"/>
      <c r="Z246" s="447"/>
      <c r="AA246" s="447"/>
      <c r="AB246" s="447"/>
      <c r="AC246" s="447"/>
      <c r="AD246" s="447"/>
      <c r="AE246" s="447"/>
      <c r="AF246" s="447"/>
      <c r="AG246" s="447"/>
    </row>
    <row r="247" spans="1:33" s="132" customFormat="1">
      <c r="A247" s="555"/>
      <c r="H247" s="447"/>
      <c r="I247" s="447"/>
      <c r="J247" s="447"/>
      <c r="K247" s="447"/>
      <c r="L247" s="447"/>
      <c r="M247" s="447"/>
      <c r="N247" s="447"/>
      <c r="O247" s="447"/>
      <c r="P247" s="447"/>
      <c r="Q247" s="447"/>
      <c r="R247" s="447"/>
      <c r="S247" s="447"/>
      <c r="T247" s="447"/>
      <c r="U247" s="447"/>
      <c r="V247" s="447"/>
      <c r="W247" s="447"/>
      <c r="X247" s="447"/>
      <c r="Y247" s="447"/>
      <c r="Z247" s="447"/>
      <c r="AA247" s="447"/>
      <c r="AB247" s="447"/>
      <c r="AC247" s="447"/>
      <c r="AD247" s="447"/>
      <c r="AE247" s="447"/>
      <c r="AF247" s="447"/>
      <c r="AG247" s="447"/>
    </row>
    <row r="248" spans="1:33" s="132" customFormat="1">
      <c r="A248" s="555"/>
      <c r="H248" s="447"/>
      <c r="I248" s="447"/>
      <c r="J248" s="447"/>
      <c r="K248" s="447"/>
      <c r="L248" s="447"/>
      <c r="M248" s="447"/>
      <c r="N248" s="447"/>
      <c r="O248" s="447"/>
      <c r="P248" s="447"/>
      <c r="Q248" s="447"/>
      <c r="R248" s="447"/>
      <c r="S248" s="447"/>
      <c r="T248" s="447"/>
      <c r="U248" s="447"/>
      <c r="V248" s="447"/>
      <c r="W248" s="447"/>
      <c r="X248" s="447"/>
      <c r="Y248" s="447"/>
      <c r="Z248" s="447"/>
      <c r="AA248" s="447"/>
      <c r="AB248" s="447"/>
      <c r="AC248" s="447"/>
      <c r="AD248" s="447"/>
      <c r="AE248" s="447"/>
      <c r="AF248" s="447"/>
      <c r="AG248" s="447"/>
    </row>
    <row r="249" spans="1:33" s="132" customFormat="1">
      <c r="A249" s="555"/>
      <c r="H249" s="447"/>
      <c r="I249" s="447"/>
      <c r="J249" s="447"/>
      <c r="K249" s="447"/>
      <c r="L249" s="447"/>
      <c r="M249" s="447"/>
      <c r="N249" s="447"/>
      <c r="O249" s="447"/>
      <c r="P249" s="447"/>
      <c r="Q249" s="447"/>
      <c r="R249" s="447"/>
      <c r="S249" s="447"/>
      <c r="T249" s="447"/>
      <c r="U249" s="447"/>
      <c r="V249" s="447"/>
      <c r="W249" s="447"/>
      <c r="X249" s="447"/>
      <c r="Y249" s="447"/>
      <c r="Z249" s="447"/>
      <c r="AA249" s="447"/>
      <c r="AB249" s="447"/>
      <c r="AC249" s="447"/>
      <c r="AD249" s="447"/>
      <c r="AE249" s="447"/>
      <c r="AF249" s="447"/>
      <c r="AG249" s="447"/>
    </row>
    <row r="250" spans="1:33" s="132" customFormat="1">
      <c r="A250" s="555"/>
      <c r="H250" s="447"/>
      <c r="I250" s="447"/>
      <c r="J250" s="447"/>
      <c r="K250" s="447"/>
      <c r="L250" s="447"/>
      <c r="M250" s="447"/>
      <c r="N250" s="447"/>
      <c r="O250" s="447"/>
      <c r="P250" s="447"/>
      <c r="Q250" s="447"/>
      <c r="R250" s="447"/>
      <c r="S250" s="447"/>
      <c r="T250" s="447"/>
      <c r="U250" s="447"/>
      <c r="V250" s="447"/>
      <c r="W250" s="447"/>
      <c r="X250" s="447"/>
      <c r="Y250" s="447"/>
      <c r="Z250" s="447"/>
      <c r="AA250" s="447"/>
      <c r="AB250" s="447"/>
      <c r="AC250" s="447"/>
      <c r="AD250" s="447"/>
      <c r="AE250" s="447"/>
      <c r="AF250" s="447"/>
      <c r="AG250" s="447"/>
    </row>
    <row r="251" spans="1:33" s="132" customFormat="1">
      <c r="A251" s="555"/>
      <c r="H251" s="447"/>
      <c r="I251" s="447"/>
      <c r="J251" s="447"/>
      <c r="K251" s="447"/>
      <c r="L251" s="447"/>
      <c r="M251" s="447"/>
      <c r="N251" s="447"/>
      <c r="O251" s="447"/>
      <c r="P251" s="447"/>
      <c r="Q251" s="447"/>
      <c r="R251" s="447"/>
      <c r="S251" s="447"/>
      <c r="T251" s="447"/>
      <c r="U251" s="447"/>
      <c r="V251" s="447"/>
      <c r="W251" s="447"/>
      <c r="X251" s="447"/>
      <c r="Y251" s="447"/>
      <c r="Z251" s="447"/>
      <c r="AA251" s="447"/>
      <c r="AB251" s="447"/>
      <c r="AC251" s="447"/>
      <c r="AD251" s="447"/>
      <c r="AE251" s="447"/>
      <c r="AF251" s="447"/>
      <c r="AG251" s="447"/>
    </row>
    <row r="252" spans="1:33" s="132" customFormat="1">
      <c r="A252" s="555"/>
      <c r="H252" s="447"/>
      <c r="I252" s="447"/>
      <c r="J252" s="447"/>
      <c r="K252" s="447"/>
      <c r="L252" s="447"/>
      <c r="M252" s="447"/>
      <c r="N252" s="447"/>
      <c r="O252" s="447"/>
      <c r="P252" s="447"/>
      <c r="Q252" s="447"/>
      <c r="R252" s="447"/>
      <c r="S252" s="447"/>
      <c r="T252" s="447"/>
      <c r="U252" s="447"/>
      <c r="V252" s="447"/>
      <c r="W252" s="447"/>
      <c r="X252" s="447"/>
      <c r="Y252" s="447"/>
      <c r="Z252" s="447"/>
      <c r="AA252" s="447"/>
      <c r="AB252" s="447"/>
      <c r="AC252" s="447"/>
      <c r="AD252" s="447"/>
      <c r="AE252" s="447"/>
      <c r="AF252" s="447"/>
      <c r="AG252" s="447"/>
    </row>
    <row r="253" spans="1:33" s="132" customFormat="1">
      <c r="A253" s="555"/>
      <c r="H253" s="447"/>
      <c r="I253" s="447"/>
      <c r="J253" s="447"/>
      <c r="K253" s="447"/>
      <c r="L253" s="447"/>
      <c r="M253" s="447"/>
      <c r="N253" s="447"/>
      <c r="O253" s="447"/>
      <c r="P253" s="447"/>
      <c r="Q253" s="447"/>
      <c r="R253" s="447"/>
      <c r="S253" s="447"/>
      <c r="T253" s="447"/>
      <c r="U253" s="447"/>
      <c r="V253" s="447"/>
      <c r="W253" s="447"/>
      <c r="X253" s="447"/>
      <c r="Y253" s="447"/>
      <c r="Z253" s="447"/>
      <c r="AA253" s="447"/>
      <c r="AB253" s="447"/>
      <c r="AC253" s="447"/>
      <c r="AD253" s="447"/>
      <c r="AE253" s="447"/>
      <c r="AF253" s="447"/>
      <c r="AG253" s="447"/>
    </row>
    <row r="254" spans="1:33" s="132" customFormat="1">
      <c r="A254" s="555"/>
      <c r="H254" s="447"/>
      <c r="I254" s="447"/>
      <c r="J254" s="447"/>
      <c r="K254" s="447"/>
      <c r="L254" s="447"/>
      <c r="M254" s="447"/>
      <c r="N254" s="447"/>
      <c r="O254" s="447"/>
      <c r="P254" s="447"/>
      <c r="Q254" s="447"/>
      <c r="R254" s="447"/>
      <c r="S254" s="447"/>
      <c r="T254" s="447"/>
      <c r="U254" s="447"/>
      <c r="V254" s="447"/>
      <c r="W254" s="447"/>
      <c r="X254" s="447"/>
      <c r="Y254" s="447"/>
      <c r="Z254" s="447"/>
      <c r="AA254" s="447"/>
      <c r="AB254" s="447"/>
      <c r="AC254" s="447"/>
      <c r="AD254" s="447"/>
      <c r="AE254" s="447"/>
      <c r="AF254" s="447"/>
      <c r="AG254" s="447"/>
    </row>
    <row r="255" spans="1:33" s="132" customFormat="1">
      <c r="A255" s="555"/>
      <c r="H255" s="447"/>
      <c r="I255" s="447"/>
      <c r="J255" s="447"/>
      <c r="K255" s="447"/>
      <c r="L255" s="447"/>
      <c r="M255" s="447"/>
      <c r="N255" s="447"/>
      <c r="O255" s="447"/>
      <c r="P255" s="447"/>
      <c r="Q255" s="447"/>
      <c r="R255" s="447"/>
      <c r="S255" s="447"/>
      <c r="T255" s="447"/>
      <c r="U255" s="447"/>
      <c r="V255" s="447"/>
      <c r="W255" s="447"/>
      <c r="X255" s="447"/>
      <c r="Y255" s="447"/>
      <c r="Z255" s="447"/>
      <c r="AA255" s="447"/>
      <c r="AB255" s="447"/>
      <c r="AC255" s="447"/>
      <c r="AD255" s="447"/>
      <c r="AE255" s="447"/>
      <c r="AF255" s="447"/>
      <c r="AG255" s="447"/>
    </row>
    <row r="256" spans="1:33" s="132" customFormat="1">
      <c r="A256" s="555"/>
      <c r="H256" s="447"/>
      <c r="I256" s="447"/>
      <c r="J256" s="447"/>
      <c r="K256" s="447"/>
      <c r="L256" s="447"/>
      <c r="M256" s="447"/>
      <c r="N256" s="447"/>
      <c r="O256" s="447"/>
      <c r="P256" s="447"/>
      <c r="Q256" s="447"/>
      <c r="R256" s="447"/>
      <c r="S256" s="447"/>
      <c r="T256" s="447"/>
      <c r="U256" s="447"/>
      <c r="V256" s="447"/>
      <c r="W256" s="447"/>
      <c r="X256" s="447"/>
      <c r="Y256" s="447"/>
      <c r="Z256" s="447"/>
      <c r="AA256" s="447"/>
      <c r="AB256" s="447"/>
      <c r="AC256" s="447"/>
      <c r="AD256" s="447"/>
      <c r="AE256" s="447"/>
      <c r="AF256" s="447"/>
      <c r="AG256" s="447"/>
    </row>
    <row r="257" spans="1:33" s="132" customFormat="1">
      <c r="A257" s="555"/>
      <c r="H257" s="447"/>
      <c r="I257" s="447"/>
      <c r="J257" s="447"/>
      <c r="K257" s="447"/>
      <c r="L257" s="447"/>
      <c r="M257" s="447"/>
      <c r="N257" s="447"/>
      <c r="O257" s="447"/>
      <c r="P257" s="447"/>
      <c r="Q257" s="447"/>
      <c r="R257" s="447"/>
      <c r="S257" s="447"/>
      <c r="T257" s="447"/>
      <c r="U257" s="447"/>
      <c r="V257" s="447"/>
      <c r="W257" s="447"/>
      <c r="X257" s="447"/>
      <c r="Y257" s="447"/>
      <c r="Z257" s="447"/>
      <c r="AA257" s="447"/>
      <c r="AB257" s="447"/>
      <c r="AC257" s="447"/>
      <c r="AD257" s="447"/>
      <c r="AE257" s="447"/>
      <c r="AF257" s="447"/>
      <c r="AG257" s="447"/>
    </row>
    <row r="258" spans="1:33" s="132" customFormat="1">
      <c r="A258" s="555"/>
      <c r="H258" s="447"/>
      <c r="I258" s="447"/>
      <c r="J258" s="447"/>
      <c r="K258" s="447"/>
      <c r="L258" s="447"/>
      <c r="M258" s="447"/>
      <c r="N258" s="447"/>
      <c r="O258" s="447"/>
      <c r="P258" s="447"/>
      <c r="Q258" s="447"/>
      <c r="R258" s="447"/>
      <c r="S258" s="447"/>
      <c r="T258" s="447"/>
      <c r="U258" s="447"/>
      <c r="V258" s="447"/>
      <c r="W258" s="447"/>
      <c r="X258" s="447"/>
      <c r="Y258" s="447"/>
      <c r="Z258" s="447"/>
      <c r="AA258" s="447"/>
      <c r="AB258" s="447"/>
      <c r="AC258" s="447"/>
      <c r="AD258" s="447"/>
      <c r="AE258" s="447"/>
      <c r="AF258" s="447"/>
      <c r="AG258" s="447"/>
    </row>
    <row r="259" spans="1:33" s="132" customFormat="1">
      <c r="A259" s="555"/>
      <c r="H259" s="447"/>
      <c r="I259" s="447"/>
      <c r="J259" s="447"/>
      <c r="K259" s="447"/>
      <c r="L259" s="447"/>
      <c r="M259" s="447"/>
      <c r="N259" s="447"/>
      <c r="O259" s="447"/>
      <c r="P259" s="447"/>
      <c r="Q259" s="447"/>
      <c r="R259" s="447"/>
      <c r="S259" s="447"/>
      <c r="T259" s="447"/>
      <c r="U259" s="447"/>
      <c r="V259" s="447"/>
      <c r="W259" s="447"/>
      <c r="X259" s="447"/>
      <c r="Y259" s="447"/>
      <c r="Z259" s="447"/>
      <c r="AA259" s="447"/>
      <c r="AB259" s="447"/>
      <c r="AC259" s="447"/>
      <c r="AD259" s="447"/>
      <c r="AE259" s="447"/>
      <c r="AF259" s="447"/>
      <c r="AG259" s="447"/>
    </row>
    <row r="260" spans="1:33" s="132" customFormat="1">
      <c r="A260" s="555"/>
      <c r="H260" s="447"/>
      <c r="I260" s="447"/>
      <c r="J260" s="447"/>
      <c r="K260" s="447"/>
      <c r="L260" s="447"/>
      <c r="M260" s="447"/>
      <c r="N260" s="447"/>
      <c r="O260" s="447"/>
      <c r="P260" s="447"/>
      <c r="Q260" s="447"/>
      <c r="R260" s="447"/>
      <c r="S260" s="447"/>
      <c r="T260" s="447"/>
      <c r="U260" s="447"/>
      <c r="V260" s="447"/>
      <c r="W260" s="447"/>
      <c r="X260" s="447"/>
      <c r="Y260" s="447"/>
      <c r="Z260" s="447"/>
      <c r="AA260" s="447"/>
      <c r="AB260" s="447"/>
      <c r="AC260" s="447"/>
      <c r="AD260" s="447"/>
      <c r="AE260" s="447"/>
      <c r="AF260" s="447"/>
      <c r="AG260" s="447"/>
    </row>
    <row r="261" spans="1:33" s="132" customFormat="1">
      <c r="A261" s="555"/>
      <c r="H261" s="447"/>
      <c r="I261" s="447"/>
      <c r="J261" s="447"/>
      <c r="K261" s="447"/>
      <c r="L261" s="447"/>
      <c r="M261" s="447"/>
      <c r="N261" s="447"/>
      <c r="O261" s="447"/>
      <c r="P261" s="447"/>
      <c r="Q261" s="447"/>
      <c r="R261" s="447"/>
      <c r="S261" s="447"/>
      <c r="T261" s="447"/>
      <c r="U261" s="447"/>
      <c r="V261" s="447"/>
      <c r="W261" s="447"/>
      <c r="X261" s="447"/>
      <c r="Y261" s="447"/>
      <c r="Z261" s="447"/>
      <c r="AA261" s="447"/>
      <c r="AB261" s="447"/>
      <c r="AC261" s="447"/>
      <c r="AD261" s="447"/>
      <c r="AE261" s="447"/>
      <c r="AF261" s="447"/>
      <c r="AG261" s="447"/>
    </row>
    <row r="262" spans="1:33" s="132" customFormat="1">
      <c r="A262" s="555"/>
      <c r="H262" s="447"/>
      <c r="I262" s="447"/>
      <c r="J262" s="447"/>
      <c r="K262" s="447"/>
      <c r="L262" s="447"/>
      <c r="M262" s="447"/>
      <c r="N262" s="447"/>
      <c r="O262" s="447"/>
      <c r="P262" s="447"/>
      <c r="Q262" s="447"/>
      <c r="R262" s="447"/>
      <c r="S262" s="447"/>
      <c r="T262" s="447"/>
      <c r="U262" s="447"/>
      <c r="V262" s="447"/>
      <c r="W262" s="447"/>
      <c r="X262" s="447"/>
      <c r="Y262" s="447"/>
      <c r="Z262" s="447"/>
      <c r="AA262" s="447"/>
      <c r="AB262" s="447"/>
      <c r="AC262" s="447"/>
      <c r="AD262" s="447"/>
      <c r="AE262" s="447"/>
      <c r="AF262" s="447"/>
      <c r="AG262" s="447"/>
    </row>
    <row r="263" spans="1:33" s="132" customFormat="1">
      <c r="A263" s="555"/>
      <c r="H263" s="447"/>
      <c r="I263" s="447"/>
      <c r="J263" s="447"/>
      <c r="K263" s="447"/>
      <c r="L263" s="447"/>
      <c r="M263" s="447"/>
      <c r="N263" s="447"/>
      <c r="O263" s="447"/>
      <c r="P263" s="447"/>
      <c r="Q263" s="447"/>
      <c r="R263" s="447"/>
      <c r="S263" s="447"/>
      <c r="T263" s="447"/>
      <c r="U263" s="447"/>
      <c r="V263" s="447"/>
      <c r="W263" s="447"/>
      <c r="X263" s="447"/>
      <c r="Y263" s="447"/>
      <c r="Z263" s="447"/>
      <c r="AA263" s="447"/>
      <c r="AB263" s="447"/>
      <c r="AC263" s="447"/>
      <c r="AD263" s="447"/>
      <c r="AE263" s="447"/>
      <c r="AF263" s="447"/>
      <c r="AG263" s="447"/>
    </row>
    <row r="264" spans="1:33" s="132" customFormat="1">
      <c r="A264" s="555"/>
      <c r="H264" s="447"/>
      <c r="I264" s="447"/>
      <c r="J264" s="447"/>
      <c r="K264" s="447"/>
      <c r="L264" s="447"/>
      <c r="M264" s="447"/>
      <c r="N264" s="447"/>
      <c r="O264" s="447"/>
      <c r="P264" s="447"/>
      <c r="Q264" s="447"/>
      <c r="R264" s="447"/>
      <c r="S264" s="447"/>
      <c r="T264" s="447"/>
      <c r="U264" s="447"/>
      <c r="V264" s="447"/>
      <c r="W264" s="447"/>
      <c r="X264" s="447"/>
      <c r="Y264" s="447"/>
      <c r="Z264" s="447"/>
      <c r="AA264" s="447"/>
      <c r="AB264" s="447"/>
      <c r="AC264" s="447"/>
      <c r="AD264" s="447"/>
      <c r="AE264" s="447"/>
      <c r="AF264" s="447"/>
      <c r="AG264" s="447"/>
    </row>
    <row r="265" spans="1:33" s="132" customFormat="1">
      <c r="A265" s="555"/>
      <c r="H265" s="447"/>
      <c r="I265" s="447"/>
      <c r="J265" s="447"/>
      <c r="K265" s="447"/>
      <c r="L265" s="447"/>
      <c r="M265" s="447"/>
      <c r="N265" s="447"/>
      <c r="O265" s="447"/>
      <c r="P265" s="447"/>
      <c r="Q265" s="447"/>
      <c r="R265" s="447"/>
      <c r="S265" s="447"/>
      <c r="T265" s="447"/>
      <c r="U265" s="447"/>
      <c r="V265" s="447"/>
      <c r="W265" s="447"/>
      <c r="X265" s="447"/>
      <c r="Y265" s="447"/>
      <c r="Z265" s="447"/>
      <c r="AA265" s="447"/>
      <c r="AB265" s="447"/>
      <c r="AC265" s="447"/>
      <c r="AD265" s="447"/>
      <c r="AE265" s="447"/>
      <c r="AF265" s="447"/>
      <c r="AG265" s="447"/>
    </row>
    <row r="266" spans="1:33" s="132" customFormat="1">
      <c r="A266" s="555"/>
      <c r="H266" s="447"/>
      <c r="I266" s="447"/>
      <c r="J266" s="447"/>
      <c r="K266" s="447"/>
      <c r="L266" s="447"/>
      <c r="M266" s="447"/>
      <c r="N266" s="447"/>
      <c r="O266" s="447"/>
      <c r="P266" s="447"/>
      <c r="Q266" s="447"/>
      <c r="R266" s="447"/>
      <c r="S266" s="447"/>
      <c r="T266" s="447"/>
      <c r="U266" s="447"/>
      <c r="V266" s="447"/>
      <c r="W266" s="447"/>
      <c r="X266" s="447"/>
      <c r="Y266" s="447"/>
      <c r="Z266" s="447"/>
      <c r="AA266" s="447"/>
      <c r="AB266" s="447"/>
      <c r="AC266" s="447"/>
      <c r="AD266" s="447"/>
      <c r="AE266" s="447"/>
      <c r="AF266" s="447"/>
      <c r="AG266" s="447"/>
    </row>
    <row r="267" spans="1:33" s="132" customFormat="1">
      <c r="A267" s="555"/>
      <c r="H267" s="447"/>
      <c r="I267" s="447"/>
      <c r="J267" s="447"/>
      <c r="K267" s="447"/>
      <c r="L267" s="447"/>
      <c r="M267" s="447"/>
      <c r="N267" s="447"/>
      <c r="O267" s="447"/>
      <c r="P267" s="447"/>
      <c r="Q267" s="447"/>
      <c r="R267" s="447"/>
      <c r="S267" s="447"/>
      <c r="T267" s="447"/>
      <c r="U267" s="447"/>
      <c r="V267" s="447"/>
      <c r="W267" s="447"/>
      <c r="X267" s="447"/>
      <c r="Y267" s="447"/>
      <c r="Z267" s="447"/>
      <c r="AA267" s="447"/>
      <c r="AB267" s="447"/>
      <c r="AC267" s="447"/>
      <c r="AD267" s="447"/>
      <c r="AE267" s="447"/>
      <c r="AF267" s="447"/>
      <c r="AG267" s="447"/>
    </row>
    <row r="268" spans="1:33" s="132" customFormat="1">
      <c r="A268" s="555"/>
      <c r="H268" s="447"/>
      <c r="I268" s="447"/>
      <c r="J268" s="447"/>
      <c r="K268" s="447"/>
      <c r="L268" s="447"/>
      <c r="M268" s="447"/>
      <c r="N268" s="447"/>
      <c r="O268" s="447"/>
      <c r="P268" s="447"/>
      <c r="Q268" s="447"/>
      <c r="R268" s="447"/>
      <c r="S268" s="447"/>
      <c r="T268" s="447"/>
      <c r="U268" s="447"/>
      <c r="V268" s="447"/>
      <c r="W268" s="447"/>
      <c r="X268" s="447"/>
      <c r="Y268" s="447"/>
      <c r="Z268" s="447"/>
      <c r="AA268" s="447"/>
      <c r="AB268" s="447"/>
      <c r="AC268" s="447"/>
      <c r="AD268" s="447"/>
      <c r="AE268" s="447"/>
      <c r="AF268" s="447"/>
      <c r="AG268" s="447"/>
    </row>
    <row r="269" spans="1:33" s="132" customFormat="1">
      <c r="A269" s="555"/>
      <c r="H269" s="447"/>
      <c r="I269" s="447"/>
      <c r="J269" s="447"/>
      <c r="K269" s="447"/>
      <c r="L269" s="447"/>
      <c r="M269" s="447"/>
      <c r="N269" s="447"/>
      <c r="O269" s="447"/>
      <c r="P269" s="447"/>
      <c r="Q269" s="447"/>
      <c r="R269" s="447"/>
      <c r="S269" s="447"/>
      <c r="T269" s="447"/>
      <c r="U269" s="447"/>
      <c r="V269" s="447"/>
      <c r="W269" s="447"/>
      <c r="X269" s="447"/>
      <c r="Y269" s="447"/>
      <c r="Z269" s="447"/>
      <c r="AA269" s="447"/>
      <c r="AB269" s="447"/>
      <c r="AC269" s="447"/>
      <c r="AD269" s="447"/>
      <c r="AE269" s="447"/>
      <c r="AF269" s="447"/>
      <c r="AG269" s="447"/>
    </row>
    <row r="270" spans="1:33" s="132" customFormat="1">
      <c r="A270" s="555"/>
      <c r="H270" s="447"/>
      <c r="I270" s="447"/>
      <c r="J270" s="447"/>
      <c r="K270" s="447"/>
      <c r="L270" s="447"/>
      <c r="M270" s="447"/>
      <c r="N270" s="447"/>
      <c r="O270" s="447"/>
      <c r="P270" s="447"/>
      <c r="Q270" s="447"/>
      <c r="R270" s="447"/>
      <c r="S270" s="447"/>
      <c r="T270" s="447"/>
      <c r="U270" s="447"/>
      <c r="V270" s="447"/>
      <c r="W270" s="447"/>
      <c r="X270" s="447"/>
      <c r="Y270" s="447"/>
      <c r="Z270" s="447"/>
      <c r="AA270" s="447"/>
      <c r="AB270" s="447"/>
      <c r="AC270" s="447"/>
      <c r="AD270" s="447"/>
      <c r="AE270" s="447"/>
      <c r="AF270" s="447"/>
      <c r="AG270" s="447"/>
    </row>
    <row r="271" spans="1:33" s="132" customFormat="1">
      <c r="A271" s="555"/>
      <c r="H271" s="447"/>
      <c r="I271" s="447"/>
      <c r="J271" s="447"/>
      <c r="K271" s="447"/>
      <c r="L271" s="447"/>
      <c r="M271" s="447"/>
      <c r="N271" s="447"/>
      <c r="O271" s="447"/>
      <c r="P271" s="447"/>
      <c r="Q271" s="447"/>
      <c r="R271" s="447"/>
      <c r="S271" s="447"/>
      <c r="T271" s="447"/>
      <c r="U271" s="447"/>
      <c r="V271" s="447"/>
      <c r="W271" s="447"/>
      <c r="X271" s="447"/>
      <c r="Y271" s="447"/>
      <c r="Z271" s="447"/>
      <c r="AA271" s="447"/>
      <c r="AB271" s="447"/>
      <c r="AC271" s="447"/>
      <c r="AD271" s="447"/>
      <c r="AE271" s="447"/>
      <c r="AF271" s="447"/>
      <c r="AG271" s="447"/>
    </row>
    <row r="272" spans="1:33" s="132" customFormat="1">
      <c r="A272" s="555"/>
      <c r="H272" s="447"/>
      <c r="I272" s="447"/>
      <c r="J272" s="447"/>
      <c r="K272" s="447"/>
      <c r="L272" s="447"/>
      <c r="M272" s="447"/>
      <c r="N272" s="447"/>
      <c r="O272" s="447"/>
      <c r="P272" s="447"/>
      <c r="Q272" s="447"/>
      <c r="R272" s="447"/>
      <c r="S272" s="447"/>
      <c r="T272" s="447"/>
      <c r="U272" s="447"/>
      <c r="V272" s="447"/>
      <c r="W272" s="447"/>
      <c r="X272" s="447"/>
      <c r="Y272" s="447"/>
      <c r="Z272" s="447"/>
      <c r="AA272" s="447"/>
      <c r="AB272" s="447"/>
      <c r="AC272" s="447"/>
      <c r="AD272" s="447"/>
      <c r="AE272" s="447"/>
      <c r="AF272" s="447"/>
      <c r="AG272" s="447"/>
    </row>
    <row r="273" spans="1:33" s="132" customFormat="1">
      <c r="A273" s="555"/>
      <c r="H273" s="447"/>
      <c r="I273" s="447"/>
      <c r="J273" s="447"/>
      <c r="K273" s="447"/>
      <c r="L273" s="447"/>
      <c r="M273" s="447"/>
      <c r="N273" s="447"/>
      <c r="O273" s="447"/>
      <c r="P273" s="447"/>
      <c r="Q273" s="447"/>
      <c r="R273" s="447"/>
      <c r="S273" s="447"/>
      <c r="T273" s="447"/>
      <c r="U273" s="447"/>
      <c r="V273" s="447"/>
      <c r="W273" s="447"/>
      <c r="X273" s="447"/>
      <c r="Y273" s="447"/>
      <c r="Z273" s="447"/>
      <c r="AA273" s="447"/>
      <c r="AB273" s="447"/>
      <c r="AC273" s="447"/>
      <c r="AD273" s="447"/>
      <c r="AE273" s="447"/>
      <c r="AF273" s="447"/>
      <c r="AG273" s="447"/>
    </row>
    <row r="274" spans="1:33" s="132" customFormat="1">
      <c r="A274" s="555"/>
      <c r="H274" s="447"/>
      <c r="I274" s="447"/>
      <c r="J274" s="447"/>
      <c r="K274" s="447"/>
      <c r="L274" s="447"/>
      <c r="M274" s="447"/>
      <c r="N274" s="447"/>
      <c r="O274" s="447"/>
      <c r="P274" s="447"/>
      <c r="Q274" s="447"/>
      <c r="R274" s="447"/>
      <c r="S274" s="447"/>
      <c r="T274" s="447"/>
      <c r="U274" s="447"/>
      <c r="V274" s="447"/>
      <c r="W274" s="447"/>
      <c r="X274" s="447"/>
      <c r="Y274" s="447"/>
      <c r="Z274" s="447"/>
      <c r="AA274" s="447"/>
      <c r="AB274" s="447"/>
      <c r="AC274" s="447"/>
      <c r="AD274" s="447"/>
      <c r="AE274" s="447"/>
      <c r="AF274" s="447"/>
      <c r="AG274" s="447"/>
    </row>
    <row r="275" spans="1:33" s="132" customFormat="1">
      <c r="A275" s="555"/>
      <c r="H275" s="447"/>
      <c r="I275" s="447"/>
      <c r="J275" s="447"/>
      <c r="K275" s="447"/>
      <c r="L275" s="447"/>
      <c r="M275" s="447"/>
      <c r="N275" s="447"/>
      <c r="O275" s="447"/>
      <c r="P275" s="447"/>
      <c r="Q275" s="447"/>
      <c r="R275" s="447"/>
      <c r="S275" s="447"/>
      <c r="T275" s="447"/>
      <c r="U275" s="447"/>
      <c r="V275" s="447"/>
      <c r="W275" s="447"/>
      <c r="X275" s="447"/>
      <c r="Y275" s="447"/>
      <c r="Z275" s="447"/>
      <c r="AA275" s="447"/>
      <c r="AB275" s="447"/>
      <c r="AC275" s="447"/>
      <c r="AD275" s="447"/>
      <c r="AE275" s="447"/>
      <c r="AF275" s="447"/>
      <c r="AG275" s="447"/>
    </row>
    <row r="276" spans="1:33" s="132" customFormat="1">
      <c r="A276" s="555"/>
      <c r="H276" s="447"/>
      <c r="I276" s="447"/>
      <c r="J276" s="447"/>
      <c r="K276" s="447"/>
      <c r="L276" s="447"/>
      <c r="M276" s="447"/>
      <c r="N276" s="447"/>
      <c r="O276" s="447"/>
      <c r="P276" s="447"/>
      <c r="Q276" s="447"/>
      <c r="R276" s="447"/>
      <c r="S276" s="447"/>
      <c r="T276" s="447"/>
      <c r="U276" s="447"/>
      <c r="V276" s="447"/>
      <c r="W276" s="447"/>
      <c r="X276" s="447"/>
      <c r="Y276" s="447"/>
      <c r="Z276" s="447"/>
      <c r="AA276" s="447"/>
      <c r="AB276" s="447"/>
      <c r="AC276" s="447"/>
      <c r="AD276" s="447"/>
      <c r="AE276" s="447"/>
      <c r="AF276" s="447"/>
      <c r="AG276" s="447"/>
    </row>
    <row r="277" spans="1:33" s="132" customFormat="1">
      <c r="A277" s="555"/>
      <c r="H277" s="447"/>
      <c r="I277" s="447"/>
      <c r="J277" s="447"/>
      <c r="K277" s="447"/>
      <c r="L277" s="447"/>
      <c r="M277" s="447"/>
      <c r="N277" s="447"/>
      <c r="O277" s="447"/>
      <c r="P277" s="447"/>
      <c r="Q277" s="447"/>
      <c r="R277" s="447"/>
      <c r="S277" s="447"/>
      <c r="T277" s="447"/>
      <c r="U277" s="447"/>
      <c r="V277" s="447"/>
      <c r="W277" s="447"/>
      <c r="X277" s="447"/>
      <c r="Y277" s="447"/>
      <c r="Z277" s="447"/>
      <c r="AA277" s="447"/>
      <c r="AB277" s="447"/>
      <c r="AC277" s="447"/>
      <c r="AD277" s="447"/>
      <c r="AE277" s="447"/>
      <c r="AF277" s="447"/>
      <c r="AG277" s="447"/>
    </row>
    <row r="278" spans="1:33" s="132" customFormat="1">
      <c r="A278" s="555"/>
      <c r="H278" s="447"/>
      <c r="I278" s="447"/>
      <c r="J278" s="447"/>
      <c r="K278" s="447"/>
      <c r="L278" s="447"/>
      <c r="M278" s="447"/>
      <c r="N278" s="447"/>
      <c r="O278" s="447"/>
      <c r="P278" s="447"/>
      <c r="Q278" s="447"/>
      <c r="R278" s="447"/>
      <c r="S278" s="447"/>
      <c r="T278" s="447"/>
      <c r="U278" s="447"/>
      <c r="V278" s="447"/>
      <c r="W278" s="447"/>
      <c r="X278" s="447"/>
      <c r="Y278" s="447"/>
      <c r="Z278" s="447"/>
      <c r="AA278" s="447"/>
      <c r="AB278" s="447"/>
      <c r="AC278" s="447"/>
      <c r="AD278" s="447"/>
      <c r="AE278" s="447"/>
      <c r="AF278" s="447"/>
      <c r="AG278" s="447"/>
    </row>
    <row r="279" spans="1:33" s="132" customFormat="1">
      <c r="A279" s="555"/>
      <c r="H279" s="447"/>
      <c r="I279" s="447"/>
      <c r="J279" s="447"/>
      <c r="K279" s="447"/>
      <c r="L279" s="447"/>
      <c r="M279" s="447"/>
      <c r="N279" s="447"/>
      <c r="O279" s="447"/>
      <c r="P279" s="447"/>
      <c r="Q279" s="447"/>
      <c r="R279" s="447"/>
      <c r="S279" s="447"/>
      <c r="T279" s="447"/>
      <c r="U279" s="447"/>
      <c r="V279" s="447"/>
      <c r="W279" s="447"/>
      <c r="X279" s="447"/>
      <c r="Y279" s="447"/>
      <c r="Z279" s="447"/>
      <c r="AA279" s="447"/>
      <c r="AB279" s="447"/>
      <c r="AC279" s="447"/>
      <c r="AD279" s="447"/>
      <c r="AE279" s="447"/>
      <c r="AF279" s="447"/>
      <c r="AG279" s="447"/>
    </row>
    <row r="280" spans="1:33" s="132" customFormat="1">
      <c r="A280" s="555"/>
      <c r="H280" s="447"/>
      <c r="I280" s="447"/>
      <c r="J280" s="447"/>
      <c r="K280" s="447"/>
      <c r="L280" s="447"/>
      <c r="M280" s="447"/>
      <c r="N280" s="447"/>
      <c r="O280" s="447"/>
      <c r="P280" s="447"/>
      <c r="Q280" s="447"/>
      <c r="R280" s="447"/>
      <c r="S280" s="447"/>
      <c r="T280" s="447"/>
      <c r="U280" s="447"/>
      <c r="V280" s="447"/>
      <c r="W280" s="447"/>
      <c r="X280" s="447"/>
      <c r="Y280" s="447"/>
      <c r="Z280" s="447"/>
      <c r="AA280" s="447"/>
      <c r="AB280" s="447"/>
      <c r="AC280" s="447"/>
      <c r="AD280" s="447"/>
      <c r="AE280" s="447"/>
      <c r="AF280" s="447"/>
      <c r="AG280" s="447"/>
    </row>
    <row r="281" spans="1:33" s="132" customFormat="1">
      <c r="A281" s="555"/>
      <c r="H281" s="447"/>
      <c r="I281" s="447"/>
      <c r="J281" s="447"/>
      <c r="K281" s="447"/>
      <c r="L281" s="447"/>
      <c r="M281" s="447"/>
      <c r="N281" s="447"/>
      <c r="O281" s="447"/>
      <c r="P281" s="447"/>
      <c r="Q281" s="447"/>
      <c r="R281" s="447"/>
      <c r="S281" s="447"/>
      <c r="T281" s="447"/>
      <c r="U281" s="447"/>
      <c r="V281" s="447"/>
      <c r="W281" s="447"/>
      <c r="X281" s="447"/>
      <c r="Y281" s="447"/>
      <c r="Z281" s="447"/>
      <c r="AA281" s="447"/>
      <c r="AB281" s="447"/>
      <c r="AC281" s="447"/>
      <c r="AD281" s="447"/>
      <c r="AE281" s="447"/>
      <c r="AF281" s="447"/>
      <c r="AG281" s="447"/>
    </row>
    <row r="282" spans="1:33" s="132" customFormat="1">
      <c r="A282" s="555"/>
      <c r="H282" s="447"/>
      <c r="I282" s="447"/>
      <c r="J282" s="447"/>
      <c r="K282" s="447"/>
      <c r="L282" s="447"/>
      <c r="M282" s="447"/>
      <c r="N282" s="447"/>
      <c r="O282" s="447"/>
      <c r="P282" s="447"/>
      <c r="Q282" s="447"/>
      <c r="R282" s="447"/>
      <c r="S282" s="447"/>
      <c r="T282" s="447"/>
      <c r="U282" s="447"/>
      <c r="V282" s="447"/>
      <c r="W282" s="447"/>
      <c r="X282" s="447"/>
      <c r="Y282" s="447"/>
      <c r="Z282" s="447"/>
      <c r="AA282" s="447"/>
      <c r="AB282" s="447"/>
      <c r="AC282" s="447"/>
      <c r="AD282" s="447"/>
      <c r="AE282" s="447"/>
      <c r="AF282" s="447"/>
      <c r="AG282" s="447"/>
    </row>
    <row r="283" spans="1:33" s="132" customFormat="1">
      <c r="A283" s="555"/>
      <c r="H283" s="447"/>
      <c r="I283" s="447"/>
      <c r="J283" s="447"/>
      <c r="K283" s="447"/>
      <c r="L283" s="447"/>
      <c r="M283" s="447"/>
      <c r="N283" s="447"/>
      <c r="O283" s="447"/>
      <c r="P283" s="447"/>
      <c r="Q283" s="447"/>
      <c r="R283" s="447"/>
      <c r="S283" s="447"/>
      <c r="T283" s="447"/>
      <c r="U283" s="447"/>
      <c r="V283" s="447"/>
      <c r="W283" s="447"/>
      <c r="X283" s="447"/>
      <c r="Y283" s="447"/>
      <c r="Z283" s="447"/>
      <c r="AA283" s="447"/>
      <c r="AB283" s="447"/>
      <c r="AC283" s="447"/>
      <c r="AD283" s="447"/>
      <c r="AE283" s="447"/>
      <c r="AF283" s="447"/>
      <c r="AG283" s="447"/>
    </row>
    <row r="284" spans="1:33" s="132" customFormat="1">
      <c r="A284" s="555"/>
      <c r="H284" s="447"/>
      <c r="I284" s="447"/>
      <c r="J284" s="447"/>
      <c r="K284" s="447"/>
      <c r="L284" s="447"/>
      <c r="M284" s="447"/>
      <c r="N284" s="447"/>
      <c r="O284" s="447"/>
      <c r="P284" s="447"/>
      <c r="Q284" s="447"/>
      <c r="R284" s="447"/>
      <c r="S284" s="447"/>
      <c r="T284" s="447"/>
      <c r="U284" s="447"/>
      <c r="V284" s="447"/>
      <c r="W284" s="447"/>
      <c r="X284" s="447"/>
      <c r="Y284" s="447"/>
      <c r="Z284" s="447"/>
      <c r="AA284" s="447"/>
      <c r="AB284" s="447"/>
      <c r="AC284" s="447"/>
      <c r="AD284" s="447"/>
      <c r="AE284" s="447"/>
      <c r="AF284" s="447"/>
      <c r="AG284" s="447"/>
    </row>
    <row r="285" spans="1:33" s="132" customFormat="1">
      <c r="A285" s="555"/>
      <c r="H285" s="447"/>
      <c r="I285" s="447"/>
      <c r="J285" s="447"/>
      <c r="K285" s="447"/>
      <c r="L285" s="447"/>
      <c r="M285" s="447"/>
      <c r="N285" s="447"/>
      <c r="O285" s="447"/>
      <c r="P285" s="447"/>
      <c r="Q285" s="447"/>
      <c r="R285" s="447"/>
      <c r="S285" s="447"/>
      <c r="T285" s="447"/>
      <c r="U285" s="447"/>
      <c r="V285" s="447"/>
      <c r="W285" s="447"/>
      <c r="X285" s="447"/>
      <c r="Y285" s="447"/>
      <c r="Z285" s="447"/>
      <c r="AA285" s="447"/>
      <c r="AB285" s="447"/>
      <c r="AC285" s="447"/>
      <c r="AD285" s="447"/>
      <c r="AE285" s="447"/>
      <c r="AF285" s="447"/>
      <c r="AG285" s="447"/>
    </row>
    <row r="286" spans="1:33" s="132" customFormat="1">
      <c r="A286" s="555"/>
      <c r="H286" s="447"/>
      <c r="I286" s="447"/>
      <c r="J286" s="447"/>
      <c r="K286" s="447"/>
      <c r="L286" s="447"/>
      <c r="M286" s="447"/>
      <c r="N286" s="447"/>
      <c r="O286" s="447"/>
      <c r="P286" s="447"/>
      <c r="Q286" s="447"/>
      <c r="R286" s="447"/>
      <c r="S286" s="447"/>
      <c r="T286" s="447"/>
      <c r="U286" s="447"/>
      <c r="V286" s="447"/>
      <c r="W286" s="447"/>
      <c r="X286" s="447"/>
      <c r="Y286" s="447"/>
      <c r="Z286" s="447"/>
      <c r="AA286" s="447"/>
      <c r="AB286" s="447"/>
      <c r="AC286" s="447"/>
      <c r="AD286" s="447"/>
      <c r="AE286" s="447"/>
      <c r="AF286" s="447"/>
      <c r="AG286" s="447"/>
    </row>
    <row r="287" spans="1:33" s="132" customFormat="1">
      <c r="A287" s="555"/>
      <c r="H287" s="447"/>
      <c r="I287" s="447"/>
      <c r="J287" s="447"/>
      <c r="K287" s="447"/>
      <c r="L287" s="447"/>
      <c r="M287" s="447"/>
      <c r="N287" s="447"/>
      <c r="O287" s="447"/>
      <c r="P287" s="447"/>
      <c r="Q287" s="447"/>
      <c r="R287" s="447"/>
      <c r="S287" s="447"/>
      <c r="T287" s="447"/>
      <c r="U287" s="447"/>
      <c r="V287" s="447"/>
      <c r="W287" s="447"/>
      <c r="X287" s="447"/>
      <c r="Y287" s="447"/>
      <c r="Z287" s="447"/>
      <c r="AA287" s="447"/>
      <c r="AB287" s="447"/>
      <c r="AC287" s="447"/>
      <c r="AD287" s="447"/>
      <c r="AE287" s="447"/>
      <c r="AF287" s="447"/>
      <c r="AG287" s="447"/>
    </row>
    <row r="288" spans="1:33" s="132" customFormat="1">
      <c r="A288" s="555"/>
      <c r="H288" s="447"/>
      <c r="I288" s="447"/>
      <c r="J288" s="447"/>
      <c r="K288" s="447"/>
      <c r="L288" s="447"/>
      <c r="M288" s="447"/>
      <c r="N288" s="447"/>
      <c r="O288" s="447"/>
      <c r="P288" s="447"/>
      <c r="Q288" s="447"/>
      <c r="R288" s="447"/>
      <c r="S288" s="447"/>
      <c r="T288" s="447"/>
      <c r="U288" s="447"/>
      <c r="V288" s="447"/>
      <c r="W288" s="447"/>
      <c r="X288" s="447"/>
      <c r="Y288" s="447"/>
      <c r="Z288" s="447"/>
      <c r="AA288" s="447"/>
      <c r="AB288" s="447"/>
      <c r="AC288" s="447"/>
      <c r="AD288" s="447"/>
      <c r="AE288" s="447"/>
      <c r="AF288" s="447"/>
      <c r="AG288" s="447"/>
    </row>
    <row r="289" spans="1:33" s="132" customFormat="1">
      <c r="A289" s="555"/>
      <c r="H289" s="447"/>
      <c r="I289" s="447"/>
      <c r="J289" s="447"/>
      <c r="K289" s="447"/>
      <c r="L289" s="447"/>
      <c r="M289" s="447"/>
      <c r="N289" s="447"/>
      <c r="O289" s="447"/>
      <c r="P289" s="447"/>
      <c r="Q289" s="447"/>
      <c r="R289" s="447"/>
      <c r="S289" s="447"/>
      <c r="T289" s="447"/>
      <c r="U289" s="447"/>
      <c r="V289" s="447"/>
      <c r="W289" s="447"/>
      <c r="X289" s="447"/>
      <c r="Y289" s="447"/>
      <c r="Z289" s="447"/>
      <c r="AA289" s="447"/>
      <c r="AB289" s="447"/>
      <c r="AC289" s="447"/>
      <c r="AD289" s="447"/>
      <c r="AE289" s="447"/>
      <c r="AF289" s="447"/>
      <c r="AG289" s="447"/>
    </row>
    <row r="290" spans="1:33" s="132" customFormat="1">
      <c r="A290" s="555"/>
      <c r="H290" s="447"/>
      <c r="I290" s="447"/>
      <c r="J290" s="447"/>
      <c r="K290" s="447"/>
      <c r="L290" s="447"/>
      <c r="M290" s="447"/>
      <c r="N290" s="447"/>
      <c r="O290" s="447"/>
      <c r="P290" s="447"/>
      <c r="Q290" s="447"/>
      <c r="R290" s="447"/>
      <c r="S290" s="447"/>
      <c r="T290" s="447"/>
      <c r="U290" s="447"/>
      <c r="V290" s="447"/>
      <c r="W290" s="447"/>
      <c r="X290" s="447"/>
      <c r="Y290" s="447"/>
      <c r="Z290" s="447"/>
      <c r="AA290" s="447"/>
      <c r="AB290" s="447"/>
      <c r="AC290" s="447"/>
      <c r="AD290" s="447"/>
      <c r="AE290" s="447"/>
      <c r="AF290" s="447"/>
      <c r="AG290" s="447"/>
    </row>
    <row r="291" spans="1:33" s="132" customFormat="1">
      <c r="A291" s="555"/>
      <c r="H291" s="447"/>
      <c r="I291" s="447"/>
      <c r="J291" s="447"/>
      <c r="K291" s="447"/>
      <c r="L291" s="447"/>
      <c r="M291" s="447"/>
      <c r="N291" s="447"/>
      <c r="O291" s="447"/>
      <c r="P291" s="447"/>
      <c r="Q291" s="447"/>
      <c r="R291" s="447"/>
      <c r="S291" s="447"/>
      <c r="T291" s="447"/>
      <c r="U291" s="447"/>
      <c r="V291" s="447"/>
      <c r="W291" s="447"/>
      <c r="X291" s="447"/>
      <c r="Y291" s="447"/>
      <c r="Z291" s="447"/>
      <c r="AA291" s="447"/>
      <c r="AB291" s="447"/>
      <c r="AC291" s="447"/>
      <c r="AD291" s="447"/>
      <c r="AE291" s="447"/>
      <c r="AF291" s="447"/>
      <c r="AG291" s="447"/>
    </row>
    <row r="292" spans="1:33" s="132" customFormat="1">
      <c r="A292" s="555"/>
      <c r="H292" s="447"/>
      <c r="I292" s="447"/>
      <c r="J292" s="447"/>
      <c r="K292" s="447"/>
      <c r="L292" s="447"/>
      <c r="M292" s="447"/>
      <c r="N292" s="447"/>
      <c r="O292" s="447"/>
      <c r="P292" s="447"/>
      <c r="Q292" s="447"/>
      <c r="R292" s="447"/>
      <c r="S292" s="447"/>
      <c r="T292" s="447"/>
      <c r="U292" s="447"/>
      <c r="V292" s="447"/>
      <c r="W292" s="447"/>
      <c r="X292" s="447"/>
      <c r="Y292" s="447"/>
      <c r="Z292" s="447"/>
      <c r="AA292" s="447"/>
      <c r="AB292" s="447"/>
      <c r="AC292" s="447"/>
      <c r="AD292" s="447"/>
      <c r="AE292" s="447"/>
      <c r="AF292" s="447"/>
      <c r="AG292" s="447"/>
    </row>
    <row r="293" spans="1:33" s="132" customFormat="1">
      <c r="A293" s="555"/>
      <c r="H293" s="447"/>
      <c r="I293" s="447"/>
      <c r="J293" s="447"/>
      <c r="K293" s="447"/>
      <c r="L293" s="447"/>
      <c r="M293" s="447"/>
      <c r="N293" s="447"/>
      <c r="O293" s="447"/>
      <c r="P293" s="447"/>
      <c r="Q293" s="447"/>
      <c r="R293" s="447"/>
      <c r="S293" s="447"/>
      <c r="T293" s="447"/>
      <c r="U293" s="447"/>
      <c r="V293" s="447"/>
      <c r="W293" s="447"/>
      <c r="X293" s="447"/>
      <c r="Y293" s="447"/>
      <c r="Z293" s="447"/>
      <c r="AA293" s="447"/>
      <c r="AB293" s="447"/>
      <c r="AC293" s="447"/>
      <c r="AD293" s="447"/>
      <c r="AE293" s="447"/>
      <c r="AF293" s="447"/>
      <c r="AG293" s="447"/>
    </row>
  </sheetData>
  <sheetProtection algorithmName="SHA-512" hashValue="nGrTl1bJUfJj28eTJHrtR45fR+BgGzITZMhGJf+ozKk5NOdujlcJyDweBh2DNlWxuFTNoeHrdTPIvZicpxBzaQ==" saltValue="AyGb0ErkUDK9vHFByu2mXA==" spinCount="100000" sheet="1" objects="1" scenarios="1"/>
  <customSheetViews>
    <customSheetView guid="{7D072CBA-4F2D-4FAE-88D9-B6A678BA20E4}" showPageBreaks="1" printArea="1" view="pageBreakPreview">
      <selection activeCell="F35" sqref="F35"/>
      <pageMargins left="0.51181102362204722" right="0.51181102362204722" top="0.78740157480314965" bottom="0.78740157480314965" header="0.31496062992125984" footer="0.31496062992125984"/>
      <printOptions horizontalCentered="1"/>
      <pageSetup paperSize="9" orientation="landscape" r:id="rId1"/>
    </customSheetView>
    <customSheetView guid="{E52CD1FC-BC62-45DA-B0AB-D94F42ADC76D}" showPageBreaks="1" printArea="1" view="pageBreakPreview">
      <selection activeCell="D6" sqref="D6"/>
      <pageMargins left="0.51181102362204722" right="0.51181102362204722" top="0.78740157480314965" bottom="0.78740157480314965" header="0.31496062992125984" footer="0.31496062992125984"/>
      <printOptions horizontalCentered="1"/>
      <pageSetup paperSize="9" orientation="landscape" r:id="rId2"/>
    </customSheetView>
    <customSheetView guid="{7AD910D7-FBD5-40ED-8BA7-40BE0FBC3F4B}" showPageBreaks="1" printArea="1" view="pageBreakPreview">
      <selection activeCell="D6" sqref="D6"/>
      <pageMargins left="0.51181102362204722" right="0.51181102362204722" top="0.78740157480314965" bottom="0.78740157480314965" header="0.31496062992125984" footer="0.31496062992125984"/>
      <printOptions horizontalCentered="1"/>
      <pageSetup paperSize="9" orientation="landscape" r:id="rId3"/>
    </customSheetView>
    <customSheetView guid="{76ECB78A-7CDD-46D1-8666-1706A28EB544}" showPageBreaks="1" printArea="1" view="pageBreakPreview">
      <selection activeCell="D6" sqref="D6"/>
      <pageMargins left="0.51181102362204722" right="0.51181102362204722" top="0.78740157480314965" bottom="0.78740157480314965" header="0.31496062992125984" footer="0.31496062992125984"/>
      <printOptions horizontalCentered="1"/>
      <pageSetup paperSize="9" orientation="landscape" r:id="rId4"/>
    </customSheetView>
    <customSheetView guid="{418E0683-5E85-4E09-83DB-7513FB73C39E}" showPageBreaks="1" printArea="1" view="pageBreakPreview">
      <selection activeCell="F35" sqref="F35"/>
      <pageMargins left="0.51181102362204722" right="0.51181102362204722" top="0.78740157480314965" bottom="0.78740157480314965" header="0.31496062992125984" footer="0.31496062992125984"/>
      <printOptions horizontalCentered="1"/>
      <pageSetup paperSize="9" orientation="landscape" r:id="rId5"/>
    </customSheetView>
  </customSheetViews>
  <mergeCells count="7">
    <mergeCell ref="A16:E16"/>
    <mergeCell ref="D18:F18"/>
    <mergeCell ref="A1:G1"/>
    <mergeCell ref="A3:G3"/>
    <mergeCell ref="A4:G4"/>
    <mergeCell ref="A10:E10"/>
    <mergeCell ref="A12:G1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6" orientation="portrait" r:id="rId6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Planilha52">
    <tabColor rgb="FF92D050"/>
  </sheetPr>
  <dimension ref="A1:AG298"/>
  <sheetViews>
    <sheetView view="pageBreakPreview" zoomScaleNormal="100" zoomScaleSheetLayoutView="100" workbookViewId="0">
      <selection activeCell="B4" sqref="B4"/>
    </sheetView>
  </sheetViews>
  <sheetFormatPr defaultColWidth="9.1796875" defaultRowHeight="14"/>
  <cols>
    <col min="1" max="1" width="8.81640625" style="556" customWidth="1"/>
    <col min="2" max="2" width="62.81640625" customWidth="1"/>
    <col min="3" max="3" width="12" customWidth="1"/>
    <col min="4" max="4" width="13" customWidth="1"/>
    <col min="5" max="6" width="17.1796875" customWidth="1"/>
    <col min="7" max="33" width="8.81640625" style="447" customWidth="1"/>
  </cols>
  <sheetData>
    <row r="1" spans="1:33" ht="42">
      <c r="A1" s="544" t="s">
        <v>158</v>
      </c>
      <c r="B1" s="545" t="s">
        <v>32</v>
      </c>
      <c r="C1" s="546" t="s">
        <v>170</v>
      </c>
      <c r="D1" s="547" t="s">
        <v>160</v>
      </c>
      <c r="E1" s="546" t="s">
        <v>161</v>
      </c>
      <c r="F1" s="548" t="s">
        <v>162</v>
      </c>
    </row>
    <row r="2" spans="1:33" ht="15" customHeight="1">
      <c r="A2" s="549">
        <v>1</v>
      </c>
      <c r="B2" s="550" t="s">
        <v>431</v>
      </c>
      <c r="C2" s="296">
        <v>6.5</v>
      </c>
      <c r="D2" s="551">
        <v>4</v>
      </c>
      <c r="E2" s="552">
        <f t="shared" ref="E2:E10" si="0">(D2*C2)</f>
        <v>26</v>
      </c>
      <c r="F2" s="552">
        <f t="shared" ref="F2:F10" si="1">E2/12</f>
        <v>2.1666666666666665</v>
      </c>
    </row>
    <row r="3" spans="1:33">
      <c r="A3" s="549">
        <v>2</v>
      </c>
      <c r="B3" s="550" t="s">
        <v>432</v>
      </c>
      <c r="C3" s="296">
        <v>7.7</v>
      </c>
      <c r="D3" s="551">
        <v>4</v>
      </c>
      <c r="E3" s="552">
        <f t="shared" si="0"/>
        <v>30.8</v>
      </c>
      <c r="F3" s="552">
        <f t="shared" si="1"/>
        <v>2.5666666666666669</v>
      </c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</row>
    <row r="4" spans="1:33">
      <c r="A4" s="549">
        <v>3</v>
      </c>
      <c r="B4" s="550" t="s">
        <v>433</v>
      </c>
      <c r="C4" s="296">
        <v>10.5</v>
      </c>
      <c r="D4" s="551">
        <v>12</v>
      </c>
      <c r="E4" s="552">
        <f t="shared" si="0"/>
        <v>126</v>
      </c>
      <c r="F4" s="552">
        <f t="shared" si="1"/>
        <v>10.5</v>
      </c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</row>
    <row r="5" spans="1:33">
      <c r="A5" s="549">
        <v>4</v>
      </c>
      <c r="B5" s="550" t="s">
        <v>596</v>
      </c>
      <c r="C5" s="296">
        <v>29.5</v>
      </c>
      <c r="D5" s="551">
        <v>2</v>
      </c>
      <c r="E5" s="552">
        <f t="shared" si="0"/>
        <v>59</v>
      </c>
      <c r="F5" s="552">
        <f t="shared" si="1"/>
        <v>4.916666666666667</v>
      </c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</row>
    <row r="6" spans="1:33">
      <c r="A6" s="549">
        <v>5</v>
      </c>
      <c r="B6" s="550" t="s">
        <v>434</v>
      </c>
      <c r="C6" s="296">
        <v>23.5</v>
      </c>
      <c r="D6" s="551">
        <v>2</v>
      </c>
      <c r="E6" s="552">
        <f t="shared" si="0"/>
        <v>47</v>
      </c>
      <c r="F6" s="552">
        <f t="shared" si="1"/>
        <v>3.9166666666666665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</row>
    <row r="7" spans="1:33">
      <c r="A7" s="549">
        <v>6</v>
      </c>
      <c r="B7" s="550" t="s">
        <v>435</v>
      </c>
      <c r="C7" s="296">
        <v>4.5</v>
      </c>
      <c r="D7" s="551">
        <v>12</v>
      </c>
      <c r="E7" s="552">
        <f t="shared" si="0"/>
        <v>54</v>
      </c>
      <c r="F7" s="552">
        <f t="shared" si="1"/>
        <v>4.5</v>
      </c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</row>
    <row r="8" spans="1:33">
      <c r="A8" s="549">
        <v>7</v>
      </c>
      <c r="B8" s="550" t="s">
        <v>436</v>
      </c>
      <c r="C8" s="296">
        <v>6.3</v>
      </c>
      <c r="D8" s="551">
        <v>12</v>
      </c>
      <c r="E8" s="552">
        <f t="shared" si="0"/>
        <v>75.599999999999994</v>
      </c>
      <c r="F8" s="552">
        <f t="shared" si="1"/>
        <v>6.3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</row>
    <row r="9" spans="1:33">
      <c r="A9" s="549">
        <v>8</v>
      </c>
      <c r="B9" s="550" t="s">
        <v>468</v>
      </c>
      <c r="C9" s="296">
        <v>58</v>
      </c>
      <c r="D9" s="551">
        <v>1</v>
      </c>
      <c r="E9" s="552">
        <f t="shared" si="0"/>
        <v>58</v>
      </c>
      <c r="F9" s="552">
        <f t="shared" si="1"/>
        <v>4.833333333333333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</row>
    <row r="10" spans="1:33">
      <c r="A10" s="549">
        <v>9</v>
      </c>
      <c r="B10" s="550" t="s">
        <v>437</v>
      </c>
      <c r="C10" s="296">
        <v>46</v>
      </c>
      <c r="D10" s="551">
        <v>1</v>
      </c>
      <c r="E10" s="552">
        <f t="shared" si="0"/>
        <v>46</v>
      </c>
      <c r="F10" s="552">
        <f t="shared" si="1"/>
        <v>3.8333333333333335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</row>
    <row r="11" spans="1:33">
      <c r="A11" s="806" t="s">
        <v>101</v>
      </c>
      <c r="B11" s="806"/>
      <c r="C11" s="806"/>
      <c r="D11" s="806"/>
      <c r="E11" s="553">
        <f>SUM(E2:E10)</f>
        <v>522.4</v>
      </c>
      <c r="F11" s="554">
        <f>SUM(F2:F10)</f>
        <v>43.533333333333339</v>
      </c>
    </row>
    <row r="12" spans="1:33" s="132" customFormat="1">
      <c r="A12" s="555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</row>
    <row r="13" spans="1:33" s="132" customFormat="1">
      <c r="A13" s="555"/>
      <c r="G13" s="447"/>
      <c r="H13" s="447"/>
      <c r="I13" s="447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7"/>
      <c r="AA13" s="447"/>
      <c r="AB13" s="447"/>
      <c r="AC13" s="447"/>
      <c r="AD13" s="447"/>
      <c r="AE13" s="447"/>
      <c r="AF13" s="447"/>
      <c r="AG13" s="447"/>
    </row>
    <row r="14" spans="1:33" s="132" customFormat="1">
      <c r="A14" s="555"/>
      <c r="G14" s="447"/>
      <c r="H14" s="447"/>
      <c r="I14" s="447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7"/>
      <c r="AA14" s="447"/>
      <c r="AB14" s="447"/>
      <c r="AC14" s="447"/>
      <c r="AD14" s="447"/>
      <c r="AE14" s="447"/>
      <c r="AF14" s="447"/>
      <c r="AG14" s="447"/>
    </row>
    <row r="15" spans="1:33" s="132" customFormat="1">
      <c r="A15" s="555"/>
      <c r="G15" s="447"/>
      <c r="H15" s="447"/>
      <c r="I15" s="447"/>
      <c r="J15" s="447"/>
      <c r="K15" s="447"/>
      <c r="L15" s="447"/>
      <c r="M15" s="447"/>
      <c r="N15" s="447"/>
      <c r="O15" s="447"/>
      <c r="P15" s="447"/>
      <c r="Q15" s="447"/>
      <c r="R15" s="447"/>
      <c r="S15" s="447"/>
      <c r="T15" s="447"/>
      <c r="U15" s="447"/>
      <c r="V15" s="447"/>
      <c r="W15" s="447"/>
      <c r="X15" s="447"/>
      <c r="Y15" s="447"/>
      <c r="Z15" s="447"/>
      <c r="AA15" s="447"/>
      <c r="AB15" s="447"/>
      <c r="AC15" s="447"/>
      <c r="AD15" s="447"/>
      <c r="AE15" s="447"/>
      <c r="AF15" s="447"/>
      <c r="AG15" s="447"/>
    </row>
    <row r="16" spans="1:33" s="132" customFormat="1">
      <c r="A16" s="555"/>
      <c r="G16" s="447"/>
      <c r="H16" s="447"/>
      <c r="I16" s="447"/>
      <c r="J16" s="447"/>
      <c r="K16" s="447"/>
      <c r="L16" s="447"/>
      <c r="M16" s="447"/>
      <c r="N16" s="447"/>
      <c r="O16" s="447"/>
      <c r="P16" s="447"/>
      <c r="Q16" s="447"/>
      <c r="R16" s="447"/>
      <c r="S16" s="447"/>
      <c r="T16" s="447"/>
      <c r="U16" s="447"/>
      <c r="V16" s="447"/>
      <c r="W16" s="447"/>
      <c r="X16" s="447"/>
      <c r="Y16" s="447"/>
      <c r="Z16" s="447"/>
      <c r="AA16" s="447"/>
      <c r="AB16" s="447"/>
      <c r="AC16" s="447"/>
      <c r="AD16" s="447"/>
      <c r="AE16" s="447"/>
      <c r="AF16" s="447"/>
      <c r="AG16" s="447"/>
    </row>
    <row r="17" spans="1:33" s="132" customFormat="1">
      <c r="A17" s="555"/>
      <c r="G17" s="447"/>
      <c r="H17" s="447"/>
      <c r="I17" s="447"/>
      <c r="J17" s="447"/>
      <c r="K17" s="447"/>
      <c r="L17" s="447"/>
      <c r="M17" s="447"/>
      <c r="N17" s="447"/>
      <c r="O17" s="447"/>
      <c r="P17" s="447"/>
      <c r="Q17" s="447"/>
      <c r="R17" s="447"/>
      <c r="S17" s="447"/>
      <c r="T17" s="447"/>
      <c r="U17" s="447"/>
      <c r="V17" s="447"/>
      <c r="W17" s="447"/>
      <c r="X17" s="447"/>
      <c r="Y17" s="447"/>
      <c r="Z17" s="447"/>
      <c r="AA17" s="447"/>
      <c r="AB17" s="447"/>
      <c r="AC17" s="447"/>
      <c r="AD17" s="447"/>
      <c r="AE17" s="447"/>
      <c r="AF17" s="447"/>
      <c r="AG17" s="447"/>
    </row>
    <row r="18" spans="1:33" s="132" customFormat="1">
      <c r="A18" s="555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</row>
    <row r="19" spans="1:33" s="132" customFormat="1">
      <c r="A19" s="555"/>
      <c r="G19" s="447"/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7"/>
      <c r="AG19" s="447"/>
    </row>
    <row r="20" spans="1:33" s="132" customFormat="1">
      <c r="A20" s="555"/>
      <c r="G20" s="447"/>
      <c r="H20" s="447"/>
      <c r="I20" s="44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7"/>
      <c r="AG20" s="447"/>
    </row>
    <row r="21" spans="1:33" s="132" customFormat="1">
      <c r="A21" s="555"/>
      <c r="G21" s="447"/>
      <c r="H21" s="447"/>
      <c r="I21" s="447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7"/>
      <c r="AC21" s="447"/>
      <c r="AD21" s="447"/>
      <c r="AE21" s="447"/>
      <c r="AF21" s="447"/>
      <c r="AG21" s="447"/>
    </row>
    <row r="22" spans="1:33" s="132" customFormat="1">
      <c r="A22" s="555"/>
      <c r="G22" s="447"/>
      <c r="H22" s="447"/>
      <c r="I22" s="447"/>
      <c r="J22" s="447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7"/>
      <c r="AG22" s="447"/>
    </row>
    <row r="23" spans="1:33" s="132" customFormat="1">
      <c r="A23" s="555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447"/>
      <c r="AA23" s="447"/>
      <c r="AB23" s="447"/>
      <c r="AC23" s="447"/>
      <c r="AD23" s="447"/>
      <c r="AE23" s="447"/>
      <c r="AF23" s="447"/>
      <c r="AG23" s="447"/>
    </row>
    <row r="24" spans="1:33" s="132" customFormat="1">
      <c r="A24" s="555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  <c r="AA24" s="447"/>
      <c r="AB24" s="447"/>
      <c r="AC24" s="447"/>
      <c r="AD24" s="447"/>
      <c r="AE24" s="447"/>
      <c r="AF24" s="447"/>
      <c r="AG24" s="447"/>
    </row>
    <row r="25" spans="1:33" s="132" customFormat="1">
      <c r="A25" s="555"/>
      <c r="G25" s="447"/>
      <c r="H25" s="447"/>
      <c r="I25" s="44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7"/>
      <c r="AA25" s="447"/>
      <c r="AB25" s="447"/>
      <c r="AC25" s="447"/>
      <c r="AD25" s="447"/>
      <c r="AE25" s="447"/>
      <c r="AF25" s="447"/>
      <c r="AG25" s="447"/>
    </row>
    <row r="26" spans="1:33" s="132" customFormat="1">
      <c r="A26" s="555"/>
      <c r="G26" s="447"/>
      <c r="H26" s="447"/>
      <c r="I26" s="447"/>
      <c r="J26" s="447"/>
      <c r="K26" s="447"/>
      <c r="L26" s="447"/>
      <c r="M26" s="447"/>
      <c r="N26" s="447"/>
      <c r="O26" s="447"/>
      <c r="P26" s="447"/>
      <c r="Q26" s="447"/>
      <c r="R26" s="447"/>
      <c r="S26" s="447"/>
      <c r="T26" s="447"/>
      <c r="U26" s="447"/>
      <c r="V26" s="447"/>
      <c r="W26" s="447"/>
      <c r="X26" s="447"/>
      <c r="Y26" s="447"/>
      <c r="Z26" s="447"/>
      <c r="AA26" s="447"/>
      <c r="AB26" s="447"/>
      <c r="AC26" s="447"/>
      <c r="AD26" s="447"/>
      <c r="AE26" s="447"/>
      <c r="AF26" s="447"/>
      <c r="AG26" s="447"/>
    </row>
    <row r="27" spans="1:33" s="132" customFormat="1">
      <c r="A27" s="555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447"/>
      <c r="S27" s="447"/>
      <c r="T27" s="447"/>
      <c r="U27" s="447"/>
      <c r="V27" s="447"/>
      <c r="W27" s="447"/>
      <c r="X27" s="447"/>
      <c r="Y27" s="447"/>
      <c r="Z27" s="447"/>
      <c r="AA27" s="447"/>
      <c r="AB27" s="447"/>
      <c r="AC27" s="447"/>
      <c r="AD27" s="447"/>
      <c r="AE27" s="447"/>
      <c r="AF27" s="447"/>
      <c r="AG27" s="447"/>
    </row>
    <row r="28" spans="1:33" s="132" customFormat="1">
      <c r="A28" s="555"/>
      <c r="G28" s="447"/>
      <c r="H28" s="447"/>
      <c r="I28" s="447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7"/>
      <c r="AA28" s="447"/>
      <c r="AB28" s="447"/>
      <c r="AC28" s="447"/>
      <c r="AD28" s="447"/>
      <c r="AE28" s="447"/>
      <c r="AF28" s="447"/>
      <c r="AG28" s="447"/>
    </row>
    <row r="29" spans="1:33" s="132" customFormat="1">
      <c r="A29" s="555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7"/>
      <c r="AA29" s="447"/>
      <c r="AB29" s="447"/>
      <c r="AC29" s="447"/>
      <c r="AD29" s="447"/>
      <c r="AE29" s="447"/>
      <c r="AF29" s="447"/>
      <c r="AG29" s="447"/>
    </row>
    <row r="30" spans="1:33" s="132" customFormat="1">
      <c r="A30" s="555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7"/>
      <c r="AC30" s="447"/>
      <c r="AD30" s="447"/>
      <c r="AE30" s="447"/>
      <c r="AF30" s="447"/>
      <c r="AG30" s="447"/>
    </row>
    <row r="31" spans="1:33" s="132" customFormat="1">
      <c r="A31" s="555"/>
      <c r="G31" s="447"/>
      <c r="H31" s="447"/>
      <c r="I31" s="447"/>
      <c r="J31" s="447"/>
      <c r="K31" s="447"/>
      <c r="L31" s="447"/>
      <c r="M31" s="447"/>
      <c r="N31" s="447"/>
      <c r="O31" s="447"/>
      <c r="P31" s="447"/>
      <c r="Q31" s="447"/>
      <c r="R31" s="447"/>
      <c r="S31" s="447"/>
      <c r="T31" s="447"/>
      <c r="U31" s="447"/>
      <c r="V31" s="447"/>
      <c r="W31" s="447"/>
      <c r="X31" s="447"/>
      <c r="Y31" s="447"/>
      <c r="Z31" s="447"/>
      <c r="AA31" s="447"/>
      <c r="AB31" s="447"/>
      <c r="AC31" s="447"/>
      <c r="AD31" s="447"/>
      <c r="AE31" s="447"/>
      <c r="AF31" s="447"/>
      <c r="AG31" s="447"/>
    </row>
    <row r="32" spans="1:33" s="132" customFormat="1">
      <c r="A32" s="555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7"/>
      <c r="AA32" s="447"/>
      <c r="AB32" s="447"/>
      <c r="AC32" s="447"/>
      <c r="AD32" s="447"/>
      <c r="AE32" s="447"/>
      <c r="AF32" s="447"/>
      <c r="AG32" s="447"/>
    </row>
    <row r="33" spans="1:33" s="132" customFormat="1">
      <c r="A33" s="555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7"/>
      <c r="AA33" s="447"/>
      <c r="AB33" s="447"/>
      <c r="AC33" s="447"/>
      <c r="AD33" s="447"/>
      <c r="AE33" s="447"/>
      <c r="AF33" s="447"/>
      <c r="AG33" s="447"/>
    </row>
    <row r="34" spans="1:33" s="132" customFormat="1">
      <c r="A34" s="555"/>
      <c r="G34" s="447"/>
      <c r="H34" s="447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7"/>
      <c r="AF34" s="447"/>
      <c r="AG34" s="447"/>
    </row>
    <row r="35" spans="1:33" s="132" customFormat="1">
      <c r="A35" s="555"/>
      <c r="G35" s="447"/>
      <c r="H35" s="447"/>
      <c r="I35" s="447"/>
      <c r="J35" s="447"/>
      <c r="K35" s="447"/>
      <c r="L35" s="447"/>
      <c r="M35" s="447"/>
      <c r="N35" s="447"/>
      <c r="O35" s="447"/>
      <c r="P35" s="447"/>
      <c r="Q35" s="447"/>
      <c r="R35" s="447"/>
      <c r="S35" s="447"/>
      <c r="T35" s="447"/>
      <c r="U35" s="447"/>
      <c r="V35" s="447"/>
      <c r="W35" s="447"/>
      <c r="X35" s="447"/>
      <c r="Y35" s="447"/>
      <c r="Z35" s="447"/>
      <c r="AA35" s="447"/>
      <c r="AB35" s="447"/>
      <c r="AC35" s="447"/>
      <c r="AD35" s="447"/>
      <c r="AE35" s="447"/>
      <c r="AF35" s="447"/>
      <c r="AG35" s="447"/>
    </row>
    <row r="36" spans="1:33" s="132" customFormat="1">
      <c r="A36" s="555"/>
      <c r="G36" s="447"/>
      <c r="H36" s="447"/>
      <c r="I36" s="447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7"/>
      <c r="AA36" s="447"/>
      <c r="AB36" s="447"/>
      <c r="AC36" s="447"/>
      <c r="AD36" s="447"/>
      <c r="AE36" s="447"/>
      <c r="AF36" s="447"/>
      <c r="AG36" s="447"/>
    </row>
    <row r="37" spans="1:33" s="132" customFormat="1">
      <c r="A37" s="555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  <c r="U37" s="447"/>
      <c r="V37" s="447"/>
      <c r="W37" s="447"/>
      <c r="X37" s="447"/>
      <c r="Y37" s="447"/>
      <c r="Z37" s="447"/>
      <c r="AA37" s="447"/>
      <c r="AB37" s="447"/>
      <c r="AC37" s="447"/>
      <c r="AD37" s="447"/>
      <c r="AE37" s="447"/>
      <c r="AF37" s="447"/>
      <c r="AG37" s="447"/>
    </row>
    <row r="38" spans="1:33" s="132" customFormat="1">
      <c r="A38" s="555"/>
      <c r="G38" s="447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47"/>
      <c r="AC38" s="447"/>
      <c r="AD38" s="447"/>
      <c r="AE38" s="447"/>
      <c r="AF38" s="447"/>
      <c r="AG38" s="447"/>
    </row>
    <row r="39" spans="1:33" s="132" customFormat="1">
      <c r="A39" s="555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</row>
    <row r="40" spans="1:33" s="132" customFormat="1">
      <c r="A40" s="555"/>
      <c r="G40" s="447"/>
      <c r="H40" s="447"/>
      <c r="I40" s="447"/>
      <c r="J40" s="447"/>
      <c r="K40" s="447"/>
      <c r="L40" s="447"/>
      <c r="M40" s="447"/>
      <c r="N40" s="447"/>
      <c r="O40" s="447"/>
      <c r="P40" s="447"/>
      <c r="Q40" s="447"/>
      <c r="R40" s="447"/>
      <c r="S40" s="447"/>
      <c r="T40" s="447"/>
      <c r="U40" s="447"/>
      <c r="V40" s="447"/>
      <c r="W40" s="447"/>
      <c r="X40" s="447"/>
      <c r="Y40" s="447"/>
      <c r="Z40" s="447"/>
      <c r="AA40" s="447"/>
      <c r="AB40" s="447"/>
      <c r="AC40" s="447"/>
      <c r="AD40" s="447"/>
      <c r="AE40" s="447"/>
      <c r="AF40" s="447"/>
      <c r="AG40" s="447"/>
    </row>
    <row r="41" spans="1:33" s="132" customFormat="1">
      <c r="A41" s="555"/>
      <c r="G41" s="447"/>
      <c r="H41" s="447"/>
      <c r="I41" s="447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7"/>
      <c r="AA41" s="447"/>
      <c r="AB41" s="447"/>
      <c r="AC41" s="447"/>
      <c r="AD41" s="447"/>
      <c r="AE41" s="447"/>
      <c r="AF41" s="447"/>
      <c r="AG41" s="447"/>
    </row>
    <row r="42" spans="1:33" s="132" customFormat="1">
      <c r="A42" s="555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</row>
    <row r="43" spans="1:33" s="132" customFormat="1">
      <c r="A43" s="555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7"/>
      <c r="AA43" s="447"/>
      <c r="AB43" s="447"/>
      <c r="AC43" s="447"/>
      <c r="AD43" s="447"/>
      <c r="AE43" s="447"/>
      <c r="AF43" s="447"/>
      <c r="AG43" s="447"/>
    </row>
    <row r="44" spans="1:33" s="132" customFormat="1">
      <c r="A44" s="555"/>
      <c r="G44" s="447"/>
      <c r="H44" s="447"/>
      <c r="I44" s="447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7"/>
      <c r="AC44" s="447"/>
      <c r="AD44" s="447"/>
      <c r="AE44" s="447"/>
      <c r="AF44" s="447"/>
      <c r="AG44" s="447"/>
    </row>
    <row r="45" spans="1:33" s="132" customFormat="1">
      <c r="A45" s="555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7"/>
      <c r="AC45" s="447"/>
      <c r="AD45" s="447"/>
      <c r="AE45" s="447"/>
      <c r="AF45" s="447"/>
      <c r="AG45" s="447"/>
    </row>
    <row r="46" spans="1:33" s="132" customFormat="1">
      <c r="A46" s="555"/>
      <c r="G46" s="447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7"/>
      <c r="AA46" s="447"/>
      <c r="AB46" s="447"/>
      <c r="AC46" s="447"/>
      <c r="AD46" s="447"/>
      <c r="AE46" s="447"/>
      <c r="AF46" s="447"/>
      <c r="AG46" s="447"/>
    </row>
    <row r="47" spans="1:33" s="132" customFormat="1">
      <c r="A47" s="555"/>
      <c r="G47" s="447"/>
      <c r="H47" s="447"/>
      <c r="I47" s="447"/>
      <c r="J47" s="447"/>
      <c r="K47" s="447"/>
      <c r="L47" s="447"/>
      <c r="M47" s="447"/>
      <c r="N47" s="447"/>
      <c r="O47" s="447"/>
      <c r="P47" s="447"/>
      <c r="Q47" s="447"/>
      <c r="R47" s="447"/>
      <c r="S47" s="447"/>
      <c r="T47" s="447"/>
      <c r="U47" s="447"/>
      <c r="V47" s="447"/>
      <c r="W47" s="447"/>
      <c r="X47" s="447"/>
      <c r="Y47" s="447"/>
      <c r="Z47" s="447"/>
      <c r="AA47" s="447"/>
      <c r="AB47" s="447"/>
      <c r="AC47" s="447"/>
      <c r="AD47" s="447"/>
      <c r="AE47" s="447"/>
      <c r="AF47" s="447"/>
      <c r="AG47" s="447"/>
    </row>
    <row r="48" spans="1:33" s="132" customFormat="1">
      <c r="A48" s="555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447"/>
      <c r="AB48" s="447"/>
      <c r="AC48" s="447"/>
      <c r="AD48" s="447"/>
      <c r="AE48" s="447"/>
      <c r="AF48" s="447"/>
      <c r="AG48" s="447"/>
    </row>
    <row r="49" spans="1:33" s="132" customFormat="1">
      <c r="A49" s="555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7"/>
      <c r="V49" s="447"/>
      <c r="W49" s="447"/>
      <c r="X49" s="447"/>
      <c r="Y49" s="447"/>
      <c r="Z49" s="447"/>
      <c r="AA49" s="447"/>
      <c r="AB49" s="447"/>
      <c r="AC49" s="447"/>
      <c r="AD49" s="447"/>
      <c r="AE49" s="447"/>
      <c r="AF49" s="447"/>
      <c r="AG49" s="447"/>
    </row>
    <row r="50" spans="1:33" s="132" customFormat="1">
      <c r="A50" s="555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47"/>
      <c r="AC50" s="447"/>
      <c r="AD50" s="447"/>
      <c r="AE50" s="447"/>
      <c r="AF50" s="447"/>
      <c r="AG50" s="447"/>
    </row>
    <row r="51" spans="1:33" s="132" customFormat="1">
      <c r="A51" s="555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7"/>
      <c r="V51" s="447"/>
      <c r="W51" s="447"/>
      <c r="X51" s="447"/>
      <c r="Y51" s="447"/>
      <c r="Z51" s="447"/>
      <c r="AA51" s="447"/>
      <c r="AB51" s="447"/>
      <c r="AC51" s="447"/>
      <c r="AD51" s="447"/>
      <c r="AE51" s="447"/>
      <c r="AF51" s="447"/>
      <c r="AG51" s="447"/>
    </row>
    <row r="52" spans="1:33" s="132" customFormat="1">
      <c r="A52" s="555"/>
      <c r="G52" s="447"/>
      <c r="H52" s="447"/>
      <c r="I52" s="447"/>
      <c r="J52" s="447"/>
      <c r="K52" s="447"/>
      <c r="L52" s="447"/>
      <c r="M52" s="447"/>
      <c r="N52" s="447"/>
      <c r="O52" s="447"/>
      <c r="P52" s="447"/>
      <c r="Q52" s="447"/>
      <c r="R52" s="447"/>
      <c r="S52" s="447"/>
      <c r="T52" s="447"/>
      <c r="U52" s="447"/>
      <c r="V52" s="447"/>
      <c r="W52" s="447"/>
      <c r="X52" s="447"/>
      <c r="Y52" s="447"/>
      <c r="Z52" s="447"/>
      <c r="AA52" s="447"/>
      <c r="AB52" s="447"/>
      <c r="AC52" s="447"/>
      <c r="AD52" s="447"/>
      <c r="AE52" s="447"/>
      <c r="AF52" s="447"/>
      <c r="AG52" s="447"/>
    </row>
    <row r="53" spans="1:33" s="132" customFormat="1">
      <c r="A53" s="555"/>
      <c r="G53" s="447"/>
      <c r="H53" s="447"/>
      <c r="I53" s="44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7"/>
      <c r="AA53" s="447"/>
      <c r="AB53" s="447"/>
      <c r="AC53" s="447"/>
      <c r="AD53" s="447"/>
      <c r="AE53" s="447"/>
      <c r="AF53" s="447"/>
      <c r="AG53" s="447"/>
    </row>
    <row r="54" spans="1:33" s="132" customFormat="1">
      <c r="A54" s="555"/>
      <c r="G54" s="447"/>
      <c r="H54" s="447"/>
      <c r="I54" s="447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7"/>
      <c r="AA54" s="447"/>
      <c r="AB54" s="447"/>
      <c r="AC54" s="447"/>
      <c r="AD54" s="447"/>
      <c r="AE54" s="447"/>
      <c r="AF54" s="447"/>
      <c r="AG54" s="447"/>
    </row>
    <row r="55" spans="1:33" s="132" customFormat="1">
      <c r="A55" s="555"/>
      <c r="G55" s="447"/>
      <c r="H55" s="447"/>
      <c r="I55" s="447"/>
      <c r="J55" s="447"/>
      <c r="K55" s="447"/>
      <c r="L55" s="447"/>
      <c r="M55" s="447"/>
      <c r="N55" s="447"/>
      <c r="O55" s="447"/>
      <c r="P55" s="447"/>
      <c r="Q55" s="447"/>
      <c r="R55" s="447"/>
      <c r="S55" s="447"/>
      <c r="T55" s="447"/>
      <c r="U55" s="447"/>
      <c r="V55" s="447"/>
      <c r="W55" s="447"/>
      <c r="X55" s="447"/>
      <c r="Y55" s="447"/>
      <c r="Z55" s="447"/>
      <c r="AA55" s="447"/>
      <c r="AB55" s="447"/>
      <c r="AC55" s="447"/>
      <c r="AD55" s="447"/>
      <c r="AE55" s="447"/>
      <c r="AF55" s="447"/>
      <c r="AG55" s="447"/>
    </row>
    <row r="56" spans="1:33" s="132" customFormat="1">
      <c r="A56" s="555"/>
      <c r="G56" s="447"/>
      <c r="H56" s="447"/>
      <c r="I56" s="447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/>
      <c r="U56" s="447"/>
      <c r="V56" s="447"/>
      <c r="W56" s="447"/>
      <c r="X56" s="447"/>
      <c r="Y56" s="447"/>
      <c r="Z56" s="447"/>
      <c r="AA56" s="447"/>
      <c r="AB56" s="447"/>
      <c r="AC56" s="447"/>
      <c r="AD56" s="447"/>
      <c r="AE56" s="447"/>
      <c r="AF56" s="447"/>
      <c r="AG56" s="447"/>
    </row>
    <row r="57" spans="1:33" s="132" customFormat="1">
      <c r="A57" s="555"/>
      <c r="G57" s="447"/>
      <c r="H57" s="447"/>
      <c r="I57" s="447"/>
      <c r="J57" s="447"/>
      <c r="K57" s="447"/>
      <c r="L57" s="447"/>
      <c r="M57" s="447"/>
      <c r="N57" s="447"/>
      <c r="O57" s="447"/>
      <c r="P57" s="447"/>
      <c r="Q57" s="447"/>
      <c r="R57" s="447"/>
      <c r="S57" s="447"/>
      <c r="T57" s="447"/>
      <c r="U57" s="447"/>
      <c r="V57" s="447"/>
      <c r="W57" s="447"/>
      <c r="X57" s="447"/>
      <c r="Y57" s="447"/>
      <c r="Z57" s="447"/>
      <c r="AA57" s="447"/>
      <c r="AB57" s="447"/>
      <c r="AC57" s="447"/>
      <c r="AD57" s="447"/>
      <c r="AE57" s="447"/>
      <c r="AF57" s="447"/>
      <c r="AG57" s="447"/>
    </row>
    <row r="58" spans="1:33" s="132" customFormat="1">
      <c r="A58" s="555"/>
      <c r="G58" s="447"/>
      <c r="H58" s="447"/>
      <c r="I58" s="447"/>
      <c r="J58" s="447"/>
      <c r="K58" s="447"/>
      <c r="L58" s="447"/>
      <c r="M58" s="447"/>
      <c r="N58" s="447"/>
      <c r="O58" s="447"/>
      <c r="P58" s="447"/>
      <c r="Q58" s="447"/>
      <c r="R58" s="447"/>
      <c r="S58" s="447"/>
      <c r="T58" s="447"/>
      <c r="U58" s="447"/>
      <c r="V58" s="447"/>
      <c r="W58" s="447"/>
      <c r="X58" s="447"/>
      <c r="Y58" s="447"/>
      <c r="Z58" s="447"/>
      <c r="AA58" s="447"/>
      <c r="AB58" s="447"/>
      <c r="AC58" s="447"/>
      <c r="AD58" s="447"/>
      <c r="AE58" s="447"/>
      <c r="AF58" s="447"/>
      <c r="AG58" s="447"/>
    </row>
    <row r="59" spans="1:33" s="132" customFormat="1">
      <c r="A59" s="555"/>
      <c r="G59" s="447"/>
      <c r="H59" s="447"/>
      <c r="I59" s="447"/>
      <c r="J59" s="447"/>
      <c r="K59" s="447"/>
      <c r="L59" s="447"/>
      <c r="M59" s="447"/>
      <c r="N59" s="447"/>
      <c r="O59" s="447"/>
      <c r="P59" s="447"/>
      <c r="Q59" s="447"/>
      <c r="R59" s="447"/>
      <c r="S59" s="447"/>
      <c r="T59" s="447"/>
      <c r="U59" s="447"/>
      <c r="V59" s="447"/>
      <c r="W59" s="447"/>
      <c r="X59" s="447"/>
      <c r="Y59" s="447"/>
      <c r="Z59" s="447"/>
      <c r="AA59" s="447"/>
      <c r="AB59" s="447"/>
      <c r="AC59" s="447"/>
      <c r="AD59" s="447"/>
      <c r="AE59" s="447"/>
      <c r="AF59" s="447"/>
      <c r="AG59" s="447"/>
    </row>
    <row r="60" spans="1:33" s="132" customFormat="1">
      <c r="A60" s="555"/>
      <c r="G60" s="447"/>
      <c r="H60" s="447"/>
      <c r="I60" s="447"/>
      <c r="J60" s="447"/>
      <c r="K60" s="447"/>
      <c r="L60" s="447"/>
      <c r="M60" s="447"/>
      <c r="N60" s="447"/>
      <c r="O60" s="447"/>
      <c r="P60" s="447"/>
      <c r="Q60" s="447"/>
      <c r="R60" s="447"/>
      <c r="S60" s="447"/>
      <c r="T60" s="447"/>
      <c r="U60" s="447"/>
      <c r="V60" s="447"/>
      <c r="W60" s="447"/>
      <c r="X60" s="447"/>
      <c r="Y60" s="447"/>
      <c r="Z60" s="447"/>
      <c r="AA60" s="447"/>
      <c r="AB60" s="447"/>
      <c r="AC60" s="447"/>
      <c r="AD60" s="447"/>
      <c r="AE60" s="447"/>
      <c r="AF60" s="447"/>
      <c r="AG60" s="447"/>
    </row>
    <row r="61" spans="1:33" s="132" customFormat="1">
      <c r="A61" s="555"/>
      <c r="G61" s="447"/>
      <c r="H61" s="447"/>
      <c r="I61" s="447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/>
      <c r="W61" s="447"/>
      <c r="X61" s="447"/>
      <c r="Y61" s="447"/>
      <c r="Z61" s="447"/>
      <c r="AA61" s="447"/>
      <c r="AB61" s="447"/>
      <c r="AC61" s="447"/>
      <c r="AD61" s="447"/>
      <c r="AE61" s="447"/>
      <c r="AF61" s="447"/>
      <c r="AG61" s="447"/>
    </row>
    <row r="62" spans="1:33" s="132" customFormat="1">
      <c r="A62" s="555"/>
      <c r="G62" s="447"/>
      <c r="H62" s="447"/>
      <c r="I62" s="447"/>
      <c r="J62" s="447"/>
      <c r="K62" s="447"/>
      <c r="L62" s="447"/>
      <c r="M62" s="447"/>
      <c r="N62" s="447"/>
      <c r="O62" s="447"/>
      <c r="P62" s="447"/>
      <c r="Q62" s="447"/>
      <c r="R62" s="447"/>
      <c r="S62" s="447"/>
      <c r="T62" s="447"/>
      <c r="U62" s="447"/>
      <c r="V62" s="447"/>
      <c r="W62" s="447"/>
      <c r="X62" s="447"/>
      <c r="Y62" s="447"/>
      <c r="Z62" s="447"/>
      <c r="AA62" s="447"/>
      <c r="AB62" s="447"/>
      <c r="AC62" s="447"/>
      <c r="AD62" s="447"/>
      <c r="AE62" s="447"/>
      <c r="AF62" s="447"/>
      <c r="AG62" s="447"/>
    </row>
    <row r="63" spans="1:33" s="132" customFormat="1">
      <c r="A63" s="555"/>
      <c r="G63" s="447"/>
      <c r="H63" s="447"/>
      <c r="I63" s="447"/>
      <c r="J63" s="447"/>
      <c r="K63" s="447"/>
      <c r="L63" s="447"/>
      <c r="M63" s="447"/>
      <c r="N63" s="447"/>
      <c r="O63" s="447"/>
      <c r="P63" s="447"/>
      <c r="Q63" s="447"/>
      <c r="R63" s="447"/>
      <c r="S63" s="447"/>
      <c r="T63" s="447"/>
      <c r="U63" s="447"/>
      <c r="V63" s="447"/>
      <c r="W63" s="447"/>
      <c r="X63" s="447"/>
      <c r="Y63" s="447"/>
      <c r="Z63" s="447"/>
      <c r="AA63" s="447"/>
      <c r="AB63" s="447"/>
      <c r="AC63" s="447"/>
      <c r="AD63" s="447"/>
      <c r="AE63" s="447"/>
      <c r="AF63" s="447"/>
      <c r="AG63" s="447"/>
    </row>
    <row r="64" spans="1:33" s="132" customFormat="1">
      <c r="A64" s="555"/>
      <c r="G64" s="447"/>
      <c r="H64" s="447"/>
      <c r="I64" s="447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7"/>
      <c r="AA64" s="447"/>
      <c r="AB64" s="447"/>
      <c r="AC64" s="447"/>
      <c r="AD64" s="447"/>
      <c r="AE64" s="447"/>
      <c r="AF64" s="447"/>
      <c r="AG64" s="447"/>
    </row>
    <row r="65" spans="1:33" s="132" customFormat="1">
      <c r="A65" s="555"/>
      <c r="G65" s="447"/>
      <c r="H65" s="447"/>
      <c r="I65" s="447"/>
      <c r="J65" s="447"/>
      <c r="K65" s="447"/>
      <c r="L65" s="447"/>
      <c r="M65" s="447"/>
      <c r="N65" s="447"/>
      <c r="O65" s="447"/>
      <c r="P65" s="447"/>
      <c r="Q65" s="447"/>
      <c r="R65" s="447"/>
      <c r="S65" s="447"/>
      <c r="T65" s="447"/>
      <c r="U65" s="447"/>
      <c r="V65" s="447"/>
      <c r="W65" s="447"/>
      <c r="X65" s="447"/>
      <c r="Y65" s="447"/>
      <c r="Z65" s="447"/>
      <c r="AA65" s="447"/>
      <c r="AB65" s="447"/>
      <c r="AC65" s="447"/>
      <c r="AD65" s="447"/>
      <c r="AE65" s="447"/>
      <c r="AF65" s="447"/>
      <c r="AG65" s="447"/>
    </row>
    <row r="66" spans="1:33" s="132" customFormat="1">
      <c r="A66" s="555"/>
      <c r="G66" s="447"/>
      <c r="H66" s="447"/>
      <c r="I66" s="447"/>
      <c r="J66" s="447"/>
      <c r="K66" s="447"/>
      <c r="L66" s="447"/>
      <c r="M66" s="447"/>
      <c r="N66" s="447"/>
      <c r="O66" s="447"/>
      <c r="P66" s="447"/>
      <c r="Q66" s="447"/>
      <c r="R66" s="447"/>
      <c r="S66" s="447"/>
      <c r="T66" s="447"/>
      <c r="U66" s="447"/>
      <c r="V66" s="447"/>
      <c r="W66" s="447"/>
      <c r="X66" s="447"/>
      <c r="Y66" s="447"/>
      <c r="Z66" s="447"/>
      <c r="AA66" s="447"/>
      <c r="AB66" s="447"/>
      <c r="AC66" s="447"/>
      <c r="AD66" s="447"/>
      <c r="AE66" s="447"/>
      <c r="AF66" s="447"/>
      <c r="AG66" s="447"/>
    </row>
    <row r="67" spans="1:33" s="132" customFormat="1">
      <c r="A67" s="555"/>
      <c r="G67" s="447"/>
      <c r="H67" s="447"/>
      <c r="I67" s="447"/>
      <c r="J67" s="447"/>
      <c r="K67" s="447"/>
      <c r="L67" s="447"/>
      <c r="M67" s="447"/>
      <c r="N67" s="447"/>
      <c r="O67" s="447"/>
      <c r="P67" s="447"/>
      <c r="Q67" s="447"/>
      <c r="R67" s="447"/>
      <c r="S67" s="447"/>
      <c r="T67" s="447"/>
      <c r="U67" s="447"/>
      <c r="V67" s="447"/>
      <c r="W67" s="447"/>
      <c r="X67" s="447"/>
      <c r="Y67" s="447"/>
      <c r="Z67" s="447"/>
      <c r="AA67" s="447"/>
      <c r="AB67" s="447"/>
      <c r="AC67" s="447"/>
      <c r="AD67" s="447"/>
      <c r="AE67" s="447"/>
      <c r="AF67" s="447"/>
      <c r="AG67" s="447"/>
    </row>
    <row r="68" spans="1:33" s="132" customFormat="1">
      <c r="A68" s="555"/>
      <c r="G68" s="447"/>
      <c r="H68" s="447"/>
      <c r="I68" s="447"/>
      <c r="J68" s="447"/>
      <c r="K68" s="447"/>
      <c r="L68" s="447"/>
      <c r="M68" s="447"/>
      <c r="N68" s="447"/>
      <c r="O68" s="447"/>
      <c r="P68" s="447"/>
      <c r="Q68" s="447"/>
      <c r="R68" s="447"/>
      <c r="S68" s="447"/>
      <c r="T68" s="447"/>
      <c r="U68" s="447"/>
      <c r="V68" s="447"/>
      <c r="W68" s="447"/>
      <c r="X68" s="447"/>
      <c r="Y68" s="447"/>
      <c r="Z68" s="447"/>
      <c r="AA68" s="447"/>
      <c r="AB68" s="447"/>
      <c r="AC68" s="447"/>
      <c r="AD68" s="447"/>
      <c r="AE68" s="447"/>
      <c r="AF68" s="447"/>
      <c r="AG68" s="447"/>
    </row>
    <row r="69" spans="1:33" s="132" customFormat="1">
      <c r="A69" s="555"/>
      <c r="G69" s="447"/>
      <c r="H69" s="447"/>
      <c r="I69" s="447"/>
      <c r="J69" s="447"/>
      <c r="K69" s="447"/>
      <c r="L69" s="447"/>
      <c r="M69" s="447"/>
      <c r="N69" s="447"/>
      <c r="O69" s="447"/>
      <c r="P69" s="447"/>
      <c r="Q69" s="447"/>
      <c r="R69" s="447"/>
      <c r="S69" s="447"/>
      <c r="T69" s="447"/>
      <c r="U69" s="447"/>
      <c r="V69" s="447"/>
      <c r="W69" s="447"/>
      <c r="X69" s="447"/>
      <c r="Y69" s="447"/>
      <c r="Z69" s="447"/>
      <c r="AA69" s="447"/>
      <c r="AB69" s="447"/>
      <c r="AC69" s="447"/>
      <c r="AD69" s="447"/>
      <c r="AE69" s="447"/>
      <c r="AF69" s="447"/>
      <c r="AG69" s="447"/>
    </row>
    <row r="70" spans="1:33" s="132" customFormat="1">
      <c r="A70" s="555"/>
      <c r="G70" s="447"/>
      <c r="H70" s="447"/>
      <c r="I70" s="447"/>
      <c r="J70" s="447"/>
      <c r="K70" s="447"/>
      <c r="L70" s="447"/>
      <c r="M70" s="447"/>
      <c r="N70" s="447"/>
      <c r="O70" s="447"/>
      <c r="P70" s="447"/>
      <c r="Q70" s="447"/>
      <c r="R70" s="447"/>
      <c r="S70" s="447"/>
      <c r="T70" s="447"/>
      <c r="U70" s="447"/>
      <c r="V70" s="447"/>
      <c r="W70" s="447"/>
      <c r="X70" s="447"/>
      <c r="Y70" s="447"/>
      <c r="Z70" s="447"/>
      <c r="AA70" s="447"/>
      <c r="AB70" s="447"/>
      <c r="AC70" s="447"/>
      <c r="AD70" s="447"/>
      <c r="AE70" s="447"/>
      <c r="AF70" s="447"/>
      <c r="AG70" s="447"/>
    </row>
    <row r="71" spans="1:33" s="132" customFormat="1">
      <c r="A71" s="555"/>
      <c r="G71" s="447"/>
      <c r="H71" s="447"/>
      <c r="I71" s="447"/>
      <c r="J71" s="447"/>
      <c r="K71" s="447"/>
      <c r="L71" s="447"/>
      <c r="M71" s="447"/>
      <c r="N71" s="447"/>
      <c r="O71" s="447"/>
      <c r="P71" s="447"/>
      <c r="Q71" s="447"/>
      <c r="R71" s="447"/>
      <c r="S71" s="447"/>
      <c r="T71" s="447"/>
      <c r="U71" s="447"/>
      <c r="V71" s="447"/>
      <c r="W71" s="447"/>
      <c r="X71" s="447"/>
      <c r="Y71" s="447"/>
      <c r="Z71" s="447"/>
      <c r="AA71" s="447"/>
      <c r="AB71" s="447"/>
      <c r="AC71" s="447"/>
      <c r="AD71" s="447"/>
      <c r="AE71" s="447"/>
      <c r="AF71" s="447"/>
      <c r="AG71" s="447"/>
    </row>
    <row r="72" spans="1:33" s="132" customFormat="1">
      <c r="A72" s="555"/>
      <c r="G72" s="447"/>
      <c r="H72" s="447"/>
      <c r="I72" s="447"/>
      <c r="J72" s="447"/>
      <c r="K72" s="447"/>
      <c r="L72" s="447"/>
      <c r="M72" s="447"/>
      <c r="N72" s="447"/>
      <c r="O72" s="447"/>
      <c r="P72" s="447"/>
      <c r="Q72" s="447"/>
      <c r="R72" s="447"/>
      <c r="S72" s="447"/>
      <c r="T72" s="447"/>
      <c r="U72" s="447"/>
      <c r="V72" s="447"/>
      <c r="W72" s="447"/>
      <c r="X72" s="447"/>
      <c r="Y72" s="447"/>
      <c r="Z72" s="447"/>
      <c r="AA72" s="447"/>
      <c r="AB72" s="447"/>
      <c r="AC72" s="447"/>
      <c r="AD72" s="447"/>
      <c r="AE72" s="447"/>
      <c r="AF72" s="447"/>
      <c r="AG72" s="447"/>
    </row>
    <row r="73" spans="1:33" s="132" customFormat="1">
      <c r="A73" s="555"/>
      <c r="G73" s="447"/>
      <c r="H73" s="447"/>
      <c r="I73" s="447"/>
      <c r="J73" s="447"/>
      <c r="K73" s="447"/>
      <c r="L73" s="447"/>
      <c r="M73" s="447"/>
      <c r="N73" s="447"/>
      <c r="O73" s="447"/>
      <c r="P73" s="447"/>
      <c r="Q73" s="447"/>
      <c r="R73" s="447"/>
      <c r="S73" s="447"/>
      <c r="T73" s="447"/>
      <c r="U73" s="447"/>
      <c r="V73" s="447"/>
      <c r="W73" s="447"/>
      <c r="X73" s="447"/>
      <c r="Y73" s="447"/>
      <c r="Z73" s="447"/>
      <c r="AA73" s="447"/>
      <c r="AB73" s="447"/>
      <c r="AC73" s="447"/>
      <c r="AD73" s="447"/>
      <c r="AE73" s="447"/>
      <c r="AF73" s="447"/>
      <c r="AG73" s="447"/>
    </row>
    <row r="74" spans="1:33" s="132" customFormat="1">
      <c r="A74" s="555"/>
      <c r="G74" s="447"/>
      <c r="H74" s="447"/>
      <c r="I74" s="447"/>
      <c r="J74" s="447"/>
      <c r="K74" s="447"/>
      <c r="L74" s="447"/>
      <c r="M74" s="447"/>
      <c r="N74" s="447"/>
      <c r="O74" s="447"/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7"/>
      <c r="AG74" s="447"/>
    </row>
    <row r="75" spans="1:33" s="132" customFormat="1">
      <c r="A75" s="555"/>
      <c r="G75" s="447"/>
      <c r="H75" s="447"/>
      <c r="I75" s="447"/>
      <c r="J75" s="447"/>
      <c r="K75" s="447"/>
      <c r="L75" s="447"/>
      <c r="M75" s="447"/>
      <c r="N75" s="447"/>
      <c r="O75" s="447"/>
      <c r="P75" s="447"/>
      <c r="Q75" s="447"/>
      <c r="R75" s="447"/>
      <c r="S75" s="447"/>
      <c r="T75" s="447"/>
      <c r="U75" s="447"/>
      <c r="V75" s="447"/>
      <c r="W75" s="447"/>
      <c r="X75" s="447"/>
      <c r="Y75" s="447"/>
      <c r="Z75" s="447"/>
      <c r="AA75" s="447"/>
      <c r="AB75" s="447"/>
      <c r="AC75" s="447"/>
      <c r="AD75" s="447"/>
      <c r="AE75" s="447"/>
      <c r="AF75" s="447"/>
      <c r="AG75" s="447"/>
    </row>
    <row r="76" spans="1:33" s="132" customFormat="1">
      <c r="A76" s="555"/>
      <c r="G76" s="447"/>
      <c r="H76" s="447"/>
      <c r="I76" s="447"/>
      <c r="J76" s="447"/>
      <c r="K76" s="447"/>
      <c r="L76" s="447"/>
      <c r="M76" s="447"/>
      <c r="N76" s="447"/>
      <c r="O76" s="447"/>
      <c r="P76" s="447"/>
      <c r="Q76" s="447"/>
      <c r="R76" s="447"/>
      <c r="S76" s="447"/>
      <c r="T76" s="447"/>
      <c r="U76" s="447"/>
      <c r="V76" s="447"/>
      <c r="W76" s="447"/>
      <c r="X76" s="447"/>
      <c r="Y76" s="447"/>
      <c r="Z76" s="447"/>
      <c r="AA76" s="447"/>
      <c r="AB76" s="447"/>
      <c r="AC76" s="447"/>
      <c r="AD76" s="447"/>
      <c r="AE76" s="447"/>
      <c r="AF76" s="447"/>
      <c r="AG76" s="447"/>
    </row>
    <row r="77" spans="1:33" s="132" customFormat="1">
      <c r="A77" s="555"/>
      <c r="G77" s="447"/>
      <c r="H77" s="447"/>
      <c r="I77" s="447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7"/>
      <c r="AA77" s="447"/>
      <c r="AB77" s="447"/>
      <c r="AC77" s="447"/>
      <c r="AD77" s="447"/>
      <c r="AE77" s="447"/>
      <c r="AF77" s="447"/>
      <c r="AG77" s="447"/>
    </row>
    <row r="78" spans="1:33" s="132" customFormat="1">
      <c r="A78" s="555"/>
      <c r="G78" s="447"/>
      <c r="H78" s="447"/>
      <c r="I78" s="447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/>
      <c r="W78" s="447"/>
      <c r="X78" s="447"/>
      <c r="Y78" s="447"/>
      <c r="Z78" s="447"/>
      <c r="AA78" s="447"/>
      <c r="AB78" s="447"/>
      <c r="AC78" s="447"/>
      <c r="AD78" s="447"/>
      <c r="AE78" s="447"/>
      <c r="AF78" s="447"/>
      <c r="AG78" s="447"/>
    </row>
    <row r="79" spans="1:33" s="132" customFormat="1">
      <c r="A79" s="555"/>
      <c r="G79" s="447"/>
      <c r="H79" s="447"/>
      <c r="I79" s="447"/>
      <c r="J79" s="447"/>
      <c r="K79" s="447"/>
      <c r="L79" s="447"/>
      <c r="M79" s="447"/>
      <c r="N79" s="447"/>
      <c r="O79" s="447"/>
      <c r="P79" s="447"/>
      <c r="Q79" s="447"/>
      <c r="R79" s="447"/>
      <c r="S79" s="447"/>
      <c r="T79" s="447"/>
      <c r="U79" s="447"/>
      <c r="V79" s="447"/>
      <c r="W79" s="447"/>
      <c r="X79" s="447"/>
      <c r="Y79" s="447"/>
      <c r="Z79" s="447"/>
      <c r="AA79" s="447"/>
      <c r="AB79" s="447"/>
      <c r="AC79" s="447"/>
      <c r="AD79" s="447"/>
      <c r="AE79" s="447"/>
      <c r="AF79" s="447"/>
      <c r="AG79" s="447"/>
    </row>
    <row r="80" spans="1:33" s="132" customFormat="1">
      <c r="A80" s="555"/>
      <c r="G80" s="447"/>
      <c r="H80" s="447"/>
      <c r="I80" s="447"/>
      <c r="J80" s="447"/>
      <c r="K80" s="447"/>
      <c r="L80" s="447"/>
      <c r="M80" s="447"/>
      <c r="N80" s="447"/>
      <c r="O80" s="447"/>
      <c r="P80" s="447"/>
      <c r="Q80" s="447"/>
      <c r="R80" s="447"/>
      <c r="S80" s="447"/>
      <c r="T80" s="447"/>
      <c r="U80" s="447"/>
      <c r="V80" s="447"/>
      <c r="W80" s="447"/>
      <c r="X80" s="447"/>
      <c r="Y80" s="447"/>
      <c r="Z80" s="447"/>
      <c r="AA80" s="447"/>
      <c r="AB80" s="447"/>
      <c r="AC80" s="447"/>
      <c r="AD80" s="447"/>
      <c r="AE80" s="447"/>
      <c r="AF80" s="447"/>
      <c r="AG80" s="447"/>
    </row>
    <row r="81" spans="1:33" s="132" customFormat="1">
      <c r="A81" s="555"/>
      <c r="G81" s="447"/>
      <c r="H81" s="447"/>
      <c r="I81" s="447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7"/>
      <c r="AA81" s="447"/>
      <c r="AB81" s="447"/>
      <c r="AC81" s="447"/>
      <c r="AD81" s="447"/>
      <c r="AE81" s="447"/>
      <c r="AF81" s="447"/>
      <c r="AG81" s="447"/>
    </row>
    <row r="82" spans="1:33" s="132" customFormat="1">
      <c r="A82" s="555"/>
      <c r="G82" s="447"/>
      <c r="H82" s="447"/>
      <c r="I82" s="447"/>
      <c r="J82" s="447"/>
      <c r="K82" s="447"/>
      <c r="L82" s="447"/>
      <c r="M82" s="447"/>
      <c r="N82" s="447"/>
      <c r="O82" s="447"/>
      <c r="P82" s="447"/>
      <c r="Q82" s="447"/>
      <c r="R82" s="447"/>
      <c r="S82" s="447"/>
      <c r="T82" s="447"/>
      <c r="U82" s="447"/>
      <c r="V82" s="447"/>
      <c r="W82" s="447"/>
      <c r="X82" s="447"/>
      <c r="Y82" s="447"/>
      <c r="Z82" s="447"/>
      <c r="AA82" s="447"/>
      <c r="AB82" s="447"/>
      <c r="AC82" s="447"/>
      <c r="AD82" s="447"/>
      <c r="AE82" s="447"/>
      <c r="AF82" s="447"/>
      <c r="AG82" s="447"/>
    </row>
    <row r="83" spans="1:33" s="132" customFormat="1">
      <c r="A83" s="555"/>
      <c r="G83" s="447"/>
      <c r="H83" s="447"/>
      <c r="I83" s="447"/>
      <c r="J83" s="447"/>
      <c r="K83" s="447"/>
      <c r="L83" s="447"/>
      <c r="M83" s="447"/>
      <c r="N83" s="447"/>
      <c r="O83" s="447"/>
      <c r="P83" s="447"/>
      <c r="Q83" s="447"/>
      <c r="R83" s="447"/>
      <c r="S83" s="447"/>
      <c r="T83" s="447"/>
      <c r="U83" s="447"/>
      <c r="V83" s="447"/>
      <c r="W83" s="447"/>
      <c r="X83" s="447"/>
      <c r="Y83" s="447"/>
      <c r="Z83" s="447"/>
      <c r="AA83" s="447"/>
      <c r="AB83" s="447"/>
      <c r="AC83" s="447"/>
      <c r="AD83" s="447"/>
      <c r="AE83" s="447"/>
      <c r="AF83" s="447"/>
      <c r="AG83" s="447"/>
    </row>
    <row r="84" spans="1:33" s="132" customFormat="1">
      <c r="A84" s="555"/>
      <c r="G84" s="447"/>
      <c r="H84" s="447"/>
      <c r="I84" s="447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/>
      <c r="U84" s="447"/>
      <c r="V84" s="447"/>
      <c r="W84" s="447"/>
      <c r="X84" s="447"/>
      <c r="Y84" s="447"/>
      <c r="Z84" s="447"/>
      <c r="AA84" s="447"/>
      <c r="AB84" s="447"/>
      <c r="AC84" s="447"/>
      <c r="AD84" s="447"/>
      <c r="AE84" s="447"/>
      <c r="AF84" s="447"/>
      <c r="AG84" s="447"/>
    </row>
    <row r="85" spans="1:33" s="132" customFormat="1">
      <c r="A85" s="555"/>
      <c r="G85" s="447"/>
      <c r="H85" s="447"/>
      <c r="I85" s="44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7"/>
      <c r="AA85" s="447"/>
      <c r="AB85" s="447"/>
      <c r="AC85" s="447"/>
      <c r="AD85" s="447"/>
      <c r="AE85" s="447"/>
      <c r="AF85" s="447"/>
      <c r="AG85" s="447"/>
    </row>
    <row r="86" spans="1:33" s="132" customFormat="1">
      <c r="A86" s="555"/>
      <c r="G86" s="447"/>
      <c r="H86" s="447"/>
      <c r="I86" s="447"/>
      <c r="J86" s="447"/>
      <c r="K86" s="447"/>
      <c r="L86" s="447"/>
      <c r="M86" s="447"/>
      <c r="N86" s="447"/>
      <c r="O86" s="447"/>
      <c r="P86" s="447"/>
      <c r="Q86" s="447"/>
      <c r="R86" s="447"/>
      <c r="S86" s="447"/>
      <c r="T86" s="447"/>
      <c r="U86" s="447"/>
      <c r="V86" s="447"/>
      <c r="W86" s="447"/>
      <c r="X86" s="447"/>
      <c r="Y86" s="447"/>
      <c r="Z86" s="447"/>
      <c r="AA86" s="447"/>
      <c r="AB86" s="447"/>
      <c r="AC86" s="447"/>
      <c r="AD86" s="447"/>
      <c r="AE86" s="447"/>
      <c r="AF86" s="447"/>
      <c r="AG86" s="447"/>
    </row>
    <row r="87" spans="1:33" s="132" customFormat="1">
      <c r="A87" s="555"/>
      <c r="G87" s="447"/>
      <c r="H87" s="447"/>
      <c r="I87" s="447"/>
      <c r="J87" s="447"/>
      <c r="K87" s="447"/>
      <c r="L87" s="447"/>
      <c r="M87" s="447"/>
      <c r="N87" s="447"/>
      <c r="O87" s="447"/>
      <c r="P87" s="447"/>
      <c r="Q87" s="447"/>
      <c r="R87" s="447"/>
      <c r="S87" s="447"/>
      <c r="T87" s="447"/>
      <c r="U87" s="447"/>
      <c r="V87" s="447"/>
      <c r="W87" s="447"/>
      <c r="X87" s="447"/>
      <c r="Y87" s="447"/>
      <c r="Z87" s="447"/>
      <c r="AA87" s="447"/>
      <c r="AB87" s="447"/>
      <c r="AC87" s="447"/>
      <c r="AD87" s="447"/>
      <c r="AE87" s="447"/>
      <c r="AF87" s="447"/>
      <c r="AG87" s="447"/>
    </row>
    <row r="88" spans="1:33" s="132" customFormat="1">
      <c r="A88" s="555"/>
      <c r="G88" s="447"/>
      <c r="H88" s="447"/>
      <c r="I88" s="447"/>
      <c r="J88" s="447"/>
      <c r="K88" s="447"/>
      <c r="L88" s="447"/>
      <c r="M88" s="447"/>
      <c r="N88" s="447"/>
      <c r="O88" s="447"/>
      <c r="P88" s="447"/>
      <c r="Q88" s="447"/>
      <c r="R88" s="447"/>
      <c r="S88" s="447"/>
      <c r="T88" s="447"/>
      <c r="U88" s="447"/>
      <c r="V88" s="447"/>
      <c r="W88" s="447"/>
      <c r="X88" s="447"/>
      <c r="Y88" s="447"/>
      <c r="Z88" s="447"/>
      <c r="AA88" s="447"/>
      <c r="AB88" s="447"/>
      <c r="AC88" s="447"/>
      <c r="AD88" s="447"/>
      <c r="AE88" s="447"/>
      <c r="AF88" s="447"/>
      <c r="AG88" s="447"/>
    </row>
    <row r="89" spans="1:33" s="132" customFormat="1">
      <c r="A89" s="555"/>
      <c r="G89" s="447"/>
      <c r="H89" s="447"/>
      <c r="I89" s="447"/>
      <c r="J89" s="447"/>
      <c r="K89" s="447"/>
      <c r="L89" s="447"/>
      <c r="M89" s="447"/>
      <c r="N89" s="447"/>
      <c r="O89" s="447"/>
      <c r="P89" s="447"/>
      <c r="Q89" s="447"/>
      <c r="R89" s="447"/>
      <c r="S89" s="447"/>
      <c r="T89" s="447"/>
      <c r="U89" s="447"/>
      <c r="V89" s="447"/>
      <c r="W89" s="447"/>
      <c r="X89" s="447"/>
      <c r="Y89" s="447"/>
      <c r="Z89" s="447"/>
      <c r="AA89" s="447"/>
      <c r="AB89" s="447"/>
      <c r="AC89" s="447"/>
      <c r="AD89" s="447"/>
      <c r="AE89" s="447"/>
      <c r="AF89" s="447"/>
      <c r="AG89" s="447"/>
    </row>
    <row r="90" spans="1:33" s="132" customFormat="1">
      <c r="A90" s="555"/>
      <c r="G90" s="447"/>
      <c r="H90" s="447"/>
      <c r="I90" s="447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7"/>
      <c r="AA90" s="447"/>
      <c r="AB90" s="447"/>
      <c r="AC90" s="447"/>
      <c r="AD90" s="447"/>
      <c r="AE90" s="447"/>
      <c r="AF90" s="447"/>
      <c r="AG90" s="447"/>
    </row>
    <row r="91" spans="1:33" s="132" customFormat="1">
      <c r="A91" s="555"/>
      <c r="G91" s="447"/>
      <c r="H91" s="447"/>
      <c r="I91" s="447"/>
      <c r="J91" s="447"/>
      <c r="K91" s="447"/>
      <c r="L91" s="447"/>
      <c r="M91" s="447"/>
      <c r="N91" s="447"/>
      <c r="O91" s="447"/>
      <c r="P91" s="447"/>
      <c r="Q91" s="447"/>
      <c r="R91" s="447"/>
      <c r="S91" s="447"/>
      <c r="T91" s="447"/>
      <c r="U91" s="447"/>
      <c r="V91" s="447"/>
      <c r="W91" s="447"/>
      <c r="X91" s="447"/>
      <c r="Y91" s="447"/>
      <c r="Z91" s="447"/>
      <c r="AA91" s="447"/>
      <c r="AB91" s="447"/>
      <c r="AC91" s="447"/>
      <c r="AD91" s="447"/>
      <c r="AE91" s="447"/>
      <c r="AF91" s="447"/>
      <c r="AG91" s="447"/>
    </row>
    <row r="92" spans="1:33" s="132" customFormat="1">
      <c r="A92" s="555"/>
      <c r="G92" s="447"/>
      <c r="H92" s="447"/>
      <c r="I92" s="447"/>
      <c r="J92" s="447"/>
      <c r="K92" s="447"/>
      <c r="L92" s="447"/>
      <c r="M92" s="447"/>
      <c r="N92" s="447"/>
      <c r="O92" s="447"/>
      <c r="P92" s="447"/>
      <c r="Q92" s="447"/>
      <c r="R92" s="447"/>
      <c r="S92" s="447"/>
      <c r="T92" s="447"/>
      <c r="U92" s="447"/>
      <c r="V92" s="447"/>
      <c r="W92" s="447"/>
      <c r="X92" s="447"/>
      <c r="Y92" s="447"/>
      <c r="Z92" s="447"/>
      <c r="AA92" s="447"/>
      <c r="AB92" s="447"/>
      <c r="AC92" s="447"/>
      <c r="AD92" s="447"/>
      <c r="AE92" s="447"/>
      <c r="AF92" s="447"/>
      <c r="AG92" s="447"/>
    </row>
    <row r="93" spans="1:33" s="132" customFormat="1">
      <c r="A93" s="555"/>
      <c r="G93" s="447"/>
      <c r="H93" s="447"/>
      <c r="I93" s="447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7"/>
      <c r="AA93" s="447"/>
      <c r="AB93" s="447"/>
      <c r="AC93" s="447"/>
      <c r="AD93" s="447"/>
      <c r="AE93" s="447"/>
      <c r="AF93" s="447"/>
      <c r="AG93" s="447"/>
    </row>
    <row r="94" spans="1:33" s="132" customFormat="1">
      <c r="A94" s="555"/>
      <c r="G94" s="447"/>
      <c r="H94" s="447"/>
      <c r="I94" s="447"/>
      <c r="J94" s="447"/>
      <c r="K94" s="447"/>
      <c r="L94" s="447"/>
      <c r="M94" s="447"/>
      <c r="N94" s="447"/>
      <c r="O94" s="447"/>
      <c r="P94" s="447"/>
      <c r="Q94" s="447"/>
      <c r="R94" s="447"/>
      <c r="S94" s="447"/>
      <c r="T94" s="447"/>
      <c r="U94" s="447"/>
      <c r="V94" s="447"/>
      <c r="W94" s="447"/>
      <c r="X94" s="447"/>
      <c r="Y94" s="447"/>
      <c r="Z94" s="447"/>
      <c r="AA94" s="447"/>
      <c r="AB94" s="447"/>
      <c r="AC94" s="447"/>
      <c r="AD94" s="447"/>
      <c r="AE94" s="447"/>
      <c r="AF94" s="447"/>
      <c r="AG94" s="447"/>
    </row>
    <row r="95" spans="1:33" s="132" customFormat="1">
      <c r="A95" s="555"/>
      <c r="G95" s="447"/>
      <c r="H95" s="447"/>
      <c r="I95" s="447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7"/>
      <c r="AA95" s="447"/>
      <c r="AB95" s="447"/>
      <c r="AC95" s="447"/>
      <c r="AD95" s="447"/>
      <c r="AE95" s="447"/>
      <c r="AF95" s="447"/>
      <c r="AG95" s="447"/>
    </row>
    <row r="96" spans="1:33" s="132" customFormat="1">
      <c r="A96" s="555"/>
      <c r="G96" s="447"/>
      <c r="H96" s="447"/>
      <c r="I96" s="447"/>
      <c r="J96" s="447"/>
      <c r="K96" s="447"/>
      <c r="L96" s="447"/>
      <c r="M96" s="447"/>
      <c r="N96" s="447"/>
      <c r="O96" s="447"/>
      <c r="P96" s="447"/>
      <c r="Q96" s="447"/>
      <c r="R96" s="447"/>
      <c r="S96" s="447"/>
      <c r="T96" s="447"/>
      <c r="U96" s="447"/>
      <c r="V96" s="447"/>
      <c r="W96" s="447"/>
      <c r="X96" s="447"/>
      <c r="Y96" s="447"/>
      <c r="Z96" s="447"/>
      <c r="AA96" s="447"/>
      <c r="AB96" s="447"/>
      <c r="AC96" s="447"/>
      <c r="AD96" s="447"/>
      <c r="AE96" s="447"/>
      <c r="AF96" s="447"/>
      <c r="AG96" s="447"/>
    </row>
    <row r="97" spans="1:33" s="132" customFormat="1">
      <c r="A97" s="555"/>
      <c r="G97" s="447"/>
      <c r="H97" s="447"/>
      <c r="I97" s="447"/>
      <c r="J97" s="447"/>
      <c r="K97" s="447"/>
      <c r="L97" s="447"/>
      <c r="M97" s="447"/>
      <c r="N97" s="447"/>
      <c r="O97" s="447"/>
      <c r="P97" s="447"/>
      <c r="Q97" s="447"/>
      <c r="R97" s="447"/>
      <c r="S97" s="447"/>
      <c r="T97" s="447"/>
      <c r="U97" s="447"/>
      <c r="V97" s="447"/>
      <c r="W97" s="447"/>
      <c r="X97" s="447"/>
      <c r="Y97" s="447"/>
      <c r="Z97" s="447"/>
      <c r="AA97" s="447"/>
      <c r="AB97" s="447"/>
      <c r="AC97" s="447"/>
      <c r="AD97" s="447"/>
      <c r="AE97" s="447"/>
      <c r="AF97" s="447"/>
      <c r="AG97" s="447"/>
    </row>
    <row r="98" spans="1:33" s="132" customFormat="1">
      <c r="A98" s="555"/>
      <c r="G98" s="447"/>
      <c r="H98" s="447"/>
      <c r="I98" s="447"/>
      <c r="J98" s="447"/>
      <c r="K98" s="447"/>
      <c r="L98" s="447"/>
      <c r="M98" s="447"/>
      <c r="N98" s="447"/>
      <c r="O98" s="447"/>
      <c r="P98" s="447"/>
      <c r="Q98" s="447"/>
      <c r="R98" s="447"/>
      <c r="S98" s="447"/>
      <c r="T98" s="447"/>
      <c r="U98" s="447"/>
      <c r="V98" s="447"/>
      <c r="W98" s="447"/>
      <c r="X98" s="447"/>
      <c r="Y98" s="447"/>
      <c r="Z98" s="447"/>
      <c r="AA98" s="447"/>
      <c r="AB98" s="447"/>
      <c r="AC98" s="447"/>
      <c r="AD98" s="447"/>
      <c r="AE98" s="447"/>
      <c r="AF98" s="447"/>
      <c r="AG98" s="447"/>
    </row>
    <row r="99" spans="1:33" s="132" customFormat="1">
      <c r="A99" s="555"/>
      <c r="G99" s="447"/>
      <c r="H99" s="447"/>
      <c r="I99" s="44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7"/>
      <c r="AA99" s="447"/>
      <c r="AB99" s="447"/>
      <c r="AC99" s="447"/>
      <c r="AD99" s="447"/>
      <c r="AE99" s="447"/>
      <c r="AF99" s="447"/>
      <c r="AG99" s="447"/>
    </row>
    <row r="100" spans="1:33" s="132" customFormat="1">
      <c r="A100" s="555"/>
      <c r="G100" s="447"/>
      <c r="H100" s="447"/>
      <c r="I100" s="447"/>
      <c r="J100" s="447"/>
      <c r="K100" s="447"/>
      <c r="L100" s="447"/>
      <c r="M100" s="447"/>
      <c r="N100" s="447"/>
      <c r="O100" s="447"/>
      <c r="P100" s="447"/>
      <c r="Q100" s="447"/>
      <c r="R100" s="447"/>
      <c r="S100" s="447"/>
      <c r="T100" s="447"/>
      <c r="U100" s="447"/>
      <c r="V100" s="447"/>
      <c r="W100" s="447"/>
      <c r="X100" s="447"/>
      <c r="Y100" s="447"/>
      <c r="Z100" s="447"/>
      <c r="AA100" s="447"/>
      <c r="AB100" s="447"/>
      <c r="AC100" s="447"/>
      <c r="AD100" s="447"/>
      <c r="AE100" s="447"/>
      <c r="AF100" s="447"/>
      <c r="AG100" s="447"/>
    </row>
    <row r="101" spans="1:33" s="132" customFormat="1">
      <c r="A101" s="555"/>
      <c r="G101" s="447"/>
      <c r="H101" s="447"/>
      <c r="I101" s="447"/>
      <c r="J101" s="447"/>
      <c r="K101" s="447"/>
      <c r="L101" s="447"/>
      <c r="M101" s="447"/>
      <c r="N101" s="447"/>
      <c r="O101" s="447"/>
      <c r="P101" s="447"/>
      <c r="Q101" s="447"/>
      <c r="R101" s="447"/>
      <c r="S101" s="447"/>
      <c r="T101" s="447"/>
      <c r="U101" s="447"/>
      <c r="V101" s="447"/>
      <c r="W101" s="447"/>
      <c r="X101" s="447"/>
      <c r="Y101" s="447"/>
      <c r="Z101" s="447"/>
      <c r="AA101" s="447"/>
      <c r="AB101" s="447"/>
      <c r="AC101" s="447"/>
      <c r="AD101" s="447"/>
      <c r="AE101" s="447"/>
      <c r="AF101" s="447"/>
      <c r="AG101" s="447"/>
    </row>
    <row r="102" spans="1:33" s="132" customFormat="1">
      <c r="A102" s="555"/>
      <c r="G102" s="447"/>
      <c r="H102" s="447"/>
      <c r="I102" s="447"/>
      <c r="J102" s="447"/>
      <c r="K102" s="447"/>
      <c r="L102" s="447"/>
      <c r="M102" s="447"/>
      <c r="N102" s="447"/>
      <c r="O102" s="447"/>
      <c r="P102" s="447"/>
      <c r="Q102" s="447"/>
      <c r="R102" s="447"/>
      <c r="S102" s="447"/>
      <c r="T102" s="447"/>
      <c r="U102" s="447"/>
      <c r="V102" s="447"/>
      <c r="W102" s="447"/>
      <c r="X102" s="447"/>
      <c r="Y102" s="447"/>
      <c r="Z102" s="447"/>
      <c r="AA102" s="447"/>
      <c r="AB102" s="447"/>
      <c r="AC102" s="447"/>
      <c r="AD102" s="447"/>
      <c r="AE102" s="447"/>
      <c r="AF102" s="447"/>
      <c r="AG102" s="447"/>
    </row>
    <row r="103" spans="1:33" s="132" customFormat="1">
      <c r="A103" s="555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</row>
    <row r="104" spans="1:33" s="132" customFormat="1">
      <c r="A104" s="555"/>
      <c r="G104" s="447"/>
      <c r="H104" s="447"/>
      <c r="I104" s="447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7"/>
      <c r="AA104" s="447"/>
      <c r="AB104" s="447"/>
      <c r="AC104" s="447"/>
      <c r="AD104" s="447"/>
      <c r="AE104" s="447"/>
      <c r="AF104" s="447"/>
      <c r="AG104" s="447"/>
    </row>
    <row r="105" spans="1:33" s="132" customFormat="1">
      <c r="A105" s="555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  <c r="AC105" s="447"/>
      <c r="AD105" s="447"/>
      <c r="AE105" s="447"/>
      <c r="AF105" s="447"/>
      <c r="AG105" s="447"/>
    </row>
    <row r="106" spans="1:33" s="132" customFormat="1">
      <c r="A106" s="555"/>
      <c r="G106" s="447"/>
      <c r="H106" s="447"/>
      <c r="I106" s="447"/>
      <c r="J106" s="447"/>
      <c r="K106" s="447"/>
      <c r="L106" s="447"/>
      <c r="M106" s="447"/>
      <c r="N106" s="447"/>
      <c r="O106" s="447"/>
      <c r="P106" s="447"/>
      <c r="Q106" s="447"/>
      <c r="R106" s="447"/>
      <c r="S106" s="447"/>
      <c r="T106" s="447"/>
      <c r="U106" s="447"/>
      <c r="V106" s="447"/>
      <c r="W106" s="447"/>
      <c r="X106" s="447"/>
      <c r="Y106" s="447"/>
      <c r="Z106" s="447"/>
      <c r="AA106" s="447"/>
      <c r="AB106" s="447"/>
      <c r="AC106" s="447"/>
      <c r="AD106" s="447"/>
      <c r="AE106" s="447"/>
      <c r="AF106" s="447"/>
      <c r="AG106" s="447"/>
    </row>
    <row r="107" spans="1:33" s="132" customFormat="1">
      <c r="A107" s="555"/>
      <c r="G107" s="447"/>
      <c r="H107" s="447"/>
      <c r="I107" s="447"/>
      <c r="J107" s="447"/>
      <c r="K107" s="447"/>
      <c r="L107" s="447"/>
      <c r="M107" s="447"/>
      <c r="N107" s="447"/>
      <c r="O107" s="447"/>
      <c r="P107" s="447"/>
      <c r="Q107" s="447"/>
      <c r="R107" s="447"/>
      <c r="S107" s="447"/>
      <c r="T107" s="447"/>
      <c r="U107" s="447"/>
      <c r="V107" s="447"/>
      <c r="W107" s="447"/>
      <c r="X107" s="447"/>
      <c r="Y107" s="447"/>
      <c r="Z107" s="447"/>
      <c r="AA107" s="447"/>
      <c r="AB107" s="447"/>
      <c r="AC107" s="447"/>
      <c r="AD107" s="447"/>
      <c r="AE107" s="447"/>
      <c r="AF107" s="447"/>
      <c r="AG107" s="447"/>
    </row>
    <row r="108" spans="1:33" s="132" customFormat="1">
      <c r="A108" s="555"/>
      <c r="G108" s="447"/>
      <c r="H108" s="447"/>
      <c r="I108" s="447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/>
      <c r="U108" s="447"/>
      <c r="V108" s="447"/>
      <c r="W108" s="447"/>
      <c r="X108" s="447"/>
      <c r="Y108" s="447"/>
      <c r="Z108" s="447"/>
      <c r="AA108" s="447"/>
      <c r="AB108" s="447"/>
      <c r="AC108" s="447"/>
      <c r="AD108" s="447"/>
      <c r="AE108" s="447"/>
      <c r="AF108" s="447"/>
      <c r="AG108" s="447"/>
    </row>
    <row r="109" spans="1:33" s="132" customFormat="1">
      <c r="A109" s="555"/>
      <c r="G109" s="447"/>
      <c r="H109" s="447"/>
      <c r="I109" s="447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7"/>
      <c r="AA109" s="447"/>
      <c r="AB109" s="447"/>
      <c r="AC109" s="447"/>
      <c r="AD109" s="447"/>
      <c r="AE109" s="447"/>
      <c r="AF109" s="447"/>
      <c r="AG109" s="447"/>
    </row>
    <row r="110" spans="1:33" s="132" customFormat="1">
      <c r="A110" s="555"/>
      <c r="G110" s="447"/>
      <c r="H110" s="447"/>
      <c r="I110" s="447"/>
      <c r="J110" s="447"/>
      <c r="K110" s="447"/>
      <c r="L110" s="447"/>
      <c r="M110" s="447"/>
      <c r="N110" s="447"/>
      <c r="O110" s="447"/>
      <c r="P110" s="447"/>
      <c r="Q110" s="447"/>
      <c r="R110" s="447"/>
      <c r="S110" s="447"/>
      <c r="T110" s="447"/>
      <c r="U110" s="447"/>
      <c r="V110" s="447"/>
      <c r="W110" s="447"/>
      <c r="X110" s="447"/>
      <c r="Y110" s="447"/>
      <c r="Z110" s="447"/>
      <c r="AA110" s="447"/>
      <c r="AB110" s="447"/>
      <c r="AC110" s="447"/>
      <c r="AD110" s="447"/>
      <c r="AE110" s="447"/>
      <c r="AF110" s="447"/>
      <c r="AG110" s="447"/>
    </row>
    <row r="111" spans="1:33" s="132" customFormat="1">
      <c r="A111" s="555"/>
      <c r="G111" s="447"/>
      <c r="H111" s="447"/>
      <c r="I111" s="447"/>
      <c r="J111" s="447"/>
      <c r="K111" s="447"/>
      <c r="L111" s="447"/>
      <c r="M111" s="447"/>
      <c r="N111" s="447"/>
      <c r="O111" s="447"/>
      <c r="P111" s="447"/>
      <c r="Q111" s="447"/>
      <c r="R111" s="447"/>
      <c r="S111" s="447"/>
      <c r="T111" s="447"/>
      <c r="U111" s="447"/>
      <c r="V111" s="447"/>
      <c r="W111" s="447"/>
      <c r="X111" s="447"/>
      <c r="Y111" s="447"/>
      <c r="Z111" s="447"/>
      <c r="AA111" s="447"/>
      <c r="AB111" s="447"/>
      <c r="AC111" s="447"/>
      <c r="AD111" s="447"/>
      <c r="AE111" s="447"/>
      <c r="AF111" s="447"/>
      <c r="AG111" s="447"/>
    </row>
    <row r="112" spans="1:33" s="132" customFormat="1">
      <c r="A112" s="555"/>
      <c r="G112" s="447"/>
      <c r="H112" s="447"/>
      <c r="I112" s="447"/>
      <c r="J112" s="447"/>
      <c r="K112" s="447"/>
      <c r="L112" s="447"/>
      <c r="M112" s="447"/>
      <c r="N112" s="447"/>
      <c r="O112" s="447"/>
      <c r="P112" s="447"/>
      <c r="Q112" s="447"/>
      <c r="R112" s="447"/>
      <c r="S112" s="447"/>
      <c r="T112" s="447"/>
      <c r="U112" s="447"/>
      <c r="V112" s="447"/>
      <c r="W112" s="447"/>
      <c r="X112" s="447"/>
      <c r="Y112" s="447"/>
      <c r="Z112" s="447"/>
      <c r="AA112" s="447"/>
      <c r="AB112" s="447"/>
      <c r="AC112" s="447"/>
      <c r="AD112" s="447"/>
      <c r="AE112" s="447"/>
      <c r="AF112" s="447"/>
      <c r="AG112" s="447"/>
    </row>
    <row r="113" spans="1:33" s="132" customFormat="1">
      <c r="A113" s="555"/>
      <c r="G113" s="447"/>
      <c r="H113" s="447"/>
      <c r="I113" s="447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7"/>
      <c r="AA113" s="447"/>
      <c r="AB113" s="447"/>
      <c r="AC113" s="447"/>
      <c r="AD113" s="447"/>
      <c r="AE113" s="447"/>
      <c r="AF113" s="447"/>
      <c r="AG113" s="447"/>
    </row>
    <row r="114" spans="1:33" s="132" customFormat="1">
      <c r="A114" s="555"/>
      <c r="G114" s="447"/>
      <c r="H114" s="447"/>
      <c r="I114" s="44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7"/>
      <c r="AA114" s="447"/>
      <c r="AB114" s="447"/>
      <c r="AC114" s="447"/>
      <c r="AD114" s="447"/>
      <c r="AE114" s="447"/>
      <c r="AF114" s="447"/>
      <c r="AG114" s="447"/>
    </row>
    <row r="115" spans="1:33" s="132" customFormat="1">
      <c r="A115" s="555"/>
      <c r="G115" s="447"/>
      <c r="H115" s="447"/>
      <c r="I115" s="447"/>
      <c r="J115" s="447"/>
      <c r="K115" s="447"/>
      <c r="L115" s="447"/>
      <c r="M115" s="447"/>
      <c r="N115" s="447"/>
      <c r="O115" s="447"/>
      <c r="P115" s="447"/>
      <c r="Q115" s="447"/>
      <c r="R115" s="447"/>
      <c r="S115" s="447"/>
      <c r="T115" s="447"/>
      <c r="U115" s="447"/>
      <c r="V115" s="447"/>
      <c r="W115" s="447"/>
      <c r="X115" s="447"/>
      <c r="Y115" s="447"/>
      <c r="Z115" s="447"/>
      <c r="AA115" s="447"/>
      <c r="AB115" s="447"/>
      <c r="AC115" s="447"/>
      <c r="AD115" s="447"/>
      <c r="AE115" s="447"/>
      <c r="AF115" s="447"/>
      <c r="AG115" s="447"/>
    </row>
    <row r="116" spans="1:33" s="132" customFormat="1">
      <c r="A116" s="555"/>
      <c r="G116" s="447"/>
      <c r="H116" s="447"/>
      <c r="I116" s="447"/>
      <c r="J116" s="447"/>
      <c r="K116" s="447"/>
      <c r="L116" s="447"/>
      <c r="M116" s="447"/>
      <c r="N116" s="447"/>
      <c r="O116" s="447"/>
      <c r="P116" s="447"/>
      <c r="Q116" s="447"/>
      <c r="R116" s="447"/>
      <c r="S116" s="447"/>
      <c r="T116" s="447"/>
      <c r="U116" s="447"/>
      <c r="V116" s="447"/>
      <c r="W116" s="447"/>
      <c r="X116" s="447"/>
      <c r="Y116" s="447"/>
      <c r="Z116" s="447"/>
      <c r="AA116" s="447"/>
      <c r="AB116" s="447"/>
      <c r="AC116" s="447"/>
      <c r="AD116" s="447"/>
      <c r="AE116" s="447"/>
      <c r="AF116" s="447"/>
      <c r="AG116" s="447"/>
    </row>
    <row r="117" spans="1:33" s="132" customFormat="1">
      <c r="A117" s="555"/>
      <c r="G117" s="447"/>
      <c r="H117" s="447"/>
      <c r="I117" s="447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/>
      <c r="T117" s="447"/>
      <c r="U117" s="447"/>
      <c r="V117" s="447"/>
      <c r="W117" s="447"/>
      <c r="X117" s="447"/>
      <c r="Y117" s="447"/>
      <c r="Z117" s="447"/>
      <c r="AA117" s="447"/>
      <c r="AB117" s="447"/>
      <c r="AC117" s="447"/>
      <c r="AD117" s="447"/>
      <c r="AE117" s="447"/>
      <c r="AF117" s="447"/>
      <c r="AG117" s="447"/>
    </row>
    <row r="118" spans="1:33" s="132" customFormat="1">
      <c r="A118" s="555"/>
      <c r="G118" s="447"/>
      <c r="H118" s="447"/>
      <c r="I118" s="447"/>
      <c r="J118" s="447"/>
      <c r="K118" s="447"/>
      <c r="L118" s="447"/>
      <c r="M118" s="447"/>
      <c r="N118" s="447"/>
      <c r="O118" s="447"/>
      <c r="P118" s="447"/>
      <c r="Q118" s="447"/>
      <c r="R118" s="447"/>
      <c r="S118" s="447"/>
      <c r="T118" s="447"/>
      <c r="U118" s="447"/>
      <c r="V118" s="447"/>
      <c r="W118" s="447"/>
      <c r="X118" s="447"/>
      <c r="Y118" s="447"/>
      <c r="Z118" s="447"/>
      <c r="AA118" s="447"/>
      <c r="AB118" s="447"/>
      <c r="AC118" s="447"/>
      <c r="AD118" s="447"/>
      <c r="AE118" s="447"/>
      <c r="AF118" s="447"/>
      <c r="AG118" s="447"/>
    </row>
    <row r="119" spans="1:33" s="132" customFormat="1">
      <c r="A119" s="555"/>
      <c r="G119" s="447"/>
      <c r="H119" s="447"/>
      <c r="I119" s="447"/>
      <c r="J119" s="447"/>
      <c r="K119" s="447"/>
      <c r="L119" s="447"/>
      <c r="M119" s="447"/>
      <c r="N119" s="447"/>
      <c r="O119" s="447"/>
      <c r="P119" s="447"/>
      <c r="Q119" s="447"/>
      <c r="R119" s="447"/>
      <c r="S119" s="447"/>
      <c r="T119" s="447"/>
      <c r="U119" s="447"/>
      <c r="V119" s="447"/>
      <c r="W119" s="447"/>
      <c r="X119" s="447"/>
      <c r="Y119" s="447"/>
      <c r="Z119" s="447"/>
      <c r="AA119" s="447"/>
      <c r="AB119" s="447"/>
      <c r="AC119" s="447"/>
      <c r="AD119" s="447"/>
      <c r="AE119" s="447"/>
      <c r="AF119" s="447"/>
      <c r="AG119" s="447"/>
    </row>
    <row r="120" spans="1:33" s="132" customFormat="1">
      <c r="A120" s="555"/>
      <c r="G120" s="447"/>
      <c r="H120" s="447"/>
      <c r="I120" s="447"/>
      <c r="J120" s="447"/>
      <c r="K120" s="447"/>
      <c r="L120" s="447"/>
      <c r="M120" s="447"/>
      <c r="N120" s="447"/>
      <c r="O120" s="447"/>
      <c r="P120" s="447"/>
      <c r="Q120" s="447"/>
      <c r="R120" s="447"/>
      <c r="S120" s="447"/>
      <c r="T120" s="447"/>
      <c r="U120" s="447"/>
      <c r="V120" s="447"/>
      <c r="W120" s="447"/>
      <c r="X120" s="447"/>
      <c r="Y120" s="447"/>
      <c r="Z120" s="447"/>
      <c r="AA120" s="447"/>
      <c r="AB120" s="447"/>
      <c r="AC120" s="447"/>
      <c r="AD120" s="447"/>
      <c r="AE120" s="447"/>
      <c r="AF120" s="447"/>
      <c r="AG120" s="447"/>
    </row>
    <row r="121" spans="1:33" s="132" customFormat="1">
      <c r="A121" s="555"/>
      <c r="G121" s="447"/>
      <c r="H121" s="447"/>
      <c r="I121" s="447"/>
      <c r="J121" s="447"/>
      <c r="K121" s="447"/>
      <c r="L121" s="447"/>
      <c r="M121" s="447"/>
      <c r="N121" s="447"/>
      <c r="O121" s="447"/>
      <c r="P121" s="447"/>
      <c r="Q121" s="447"/>
      <c r="R121" s="447"/>
      <c r="S121" s="447"/>
      <c r="T121" s="447"/>
      <c r="U121" s="447"/>
      <c r="V121" s="447"/>
      <c r="W121" s="447"/>
      <c r="X121" s="447"/>
      <c r="Y121" s="447"/>
      <c r="Z121" s="447"/>
      <c r="AA121" s="447"/>
      <c r="AB121" s="447"/>
      <c r="AC121" s="447"/>
      <c r="AD121" s="447"/>
      <c r="AE121" s="447"/>
      <c r="AF121" s="447"/>
      <c r="AG121" s="447"/>
    </row>
    <row r="122" spans="1:33" s="132" customFormat="1">
      <c r="A122" s="555"/>
      <c r="G122" s="447"/>
      <c r="H122" s="447"/>
      <c r="I122" s="447"/>
      <c r="J122" s="447"/>
      <c r="K122" s="447"/>
      <c r="L122" s="447"/>
      <c r="M122" s="447"/>
      <c r="N122" s="447"/>
      <c r="O122" s="447"/>
      <c r="P122" s="447"/>
      <c r="Q122" s="447"/>
      <c r="R122" s="447"/>
      <c r="S122" s="447"/>
      <c r="T122" s="447"/>
      <c r="U122" s="447"/>
      <c r="V122" s="447"/>
      <c r="W122" s="447"/>
      <c r="X122" s="447"/>
      <c r="Y122" s="447"/>
      <c r="Z122" s="447"/>
      <c r="AA122" s="447"/>
      <c r="AB122" s="447"/>
      <c r="AC122" s="447"/>
      <c r="AD122" s="447"/>
      <c r="AE122" s="447"/>
      <c r="AF122" s="447"/>
      <c r="AG122" s="447"/>
    </row>
    <row r="123" spans="1:33" s="132" customFormat="1">
      <c r="A123" s="555"/>
      <c r="G123" s="447"/>
      <c r="H123" s="447"/>
      <c r="I123" s="447"/>
      <c r="J123" s="447"/>
      <c r="K123" s="447"/>
      <c r="L123" s="447"/>
      <c r="M123" s="447"/>
      <c r="N123" s="447"/>
      <c r="O123" s="447"/>
      <c r="P123" s="447"/>
      <c r="Q123" s="447"/>
      <c r="R123" s="447"/>
      <c r="S123" s="447"/>
      <c r="T123" s="447"/>
      <c r="U123" s="447"/>
      <c r="V123" s="447"/>
      <c r="W123" s="447"/>
      <c r="X123" s="447"/>
      <c r="Y123" s="447"/>
      <c r="Z123" s="447"/>
      <c r="AA123" s="447"/>
      <c r="AB123" s="447"/>
      <c r="AC123" s="447"/>
      <c r="AD123" s="447"/>
      <c r="AE123" s="447"/>
      <c r="AF123" s="447"/>
      <c r="AG123" s="447"/>
    </row>
    <row r="124" spans="1:33" s="132" customFormat="1">
      <c r="A124" s="555"/>
      <c r="G124" s="447"/>
      <c r="H124" s="447"/>
      <c r="I124" s="447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7"/>
      <c r="AA124" s="447"/>
      <c r="AB124" s="447"/>
      <c r="AC124" s="447"/>
      <c r="AD124" s="447"/>
      <c r="AE124" s="447"/>
      <c r="AF124" s="447"/>
      <c r="AG124" s="447"/>
    </row>
    <row r="125" spans="1:33" s="132" customFormat="1">
      <c r="A125" s="555"/>
      <c r="G125" s="447"/>
      <c r="H125" s="447"/>
      <c r="I125" s="447"/>
      <c r="J125" s="447"/>
      <c r="K125" s="447"/>
      <c r="L125" s="447"/>
      <c r="M125" s="447"/>
      <c r="N125" s="447"/>
      <c r="O125" s="447"/>
      <c r="P125" s="447"/>
      <c r="Q125" s="447"/>
      <c r="R125" s="447"/>
      <c r="S125" s="447"/>
      <c r="T125" s="447"/>
      <c r="U125" s="447"/>
      <c r="V125" s="447"/>
      <c r="W125" s="447"/>
      <c r="X125" s="447"/>
      <c r="Y125" s="447"/>
      <c r="Z125" s="447"/>
      <c r="AA125" s="447"/>
      <c r="AB125" s="447"/>
      <c r="AC125" s="447"/>
      <c r="AD125" s="447"/>
      <c r="AE125" s="447"/>
      <c r="AF125" s="447"/>
      <c r="AG125" s="447"/>
    </row>
    <row r="126" spans="1:33" s="132" customFormat="1">
      <c r="A126" s="555"/>
      <c r="G126" s="447"/>
      <c r="H126" s="447"/>
      <c r="I126" s="447"/>
      <c r="J126" s="447"/>
      <c r="K126" s="447"/>
      <c r="L126" s="447"/>
      <c r="M126" s="447"/>
      <c r="N126" s="447"/>
      <c r="O126" s="447"/>
      <c r="P126" s="447"/>
      <c r="Q126" s="447"/>
      <c r="R126" s="447"/>
      <c r="S126" s="447"/>
      <c r="T126" s="447"/>
      <c r="U126" s="447"/>
      <c r="V126" s="447"/>
      <c r="W126" s="447"/>
      <c r="X126" s="447"/>
      <c r="Y126" s="447"/>
      <c r="Z126" s="447"/>
      <c r="AA126" s="447"/>
      <c r="AB126" s="447"/>
      <c r="AC126" s="447"/>
      <c r="AD126" s="447"/>
      <c r="AE126" s="447"/>
      <c r="AF126" s="447"/>
      <c r="AG126" s="447"/>
    </row>
    <row r="127" spans="1:33" s="132" customFormat="1">
      <c r="A127" s="555"/>
      <c r="G127" s="447"/>
      <c r="H127" s="447"/>
      <c r="I127" s="447"/>
      <c r="J127" s="447"/>
      <c r="K127" s="447"/>
      <c r="L127" s="447"/>
      <c r="M127" s="447"/>
      <c r="N127" s="447"/>
      <c r="O127" s="447"/>
      <c r="P127" s="447"/>
      <c r="Q127" s="447"/>
      <c r="R127" s="447"/>
      <c r="S127" s="447"/>
      <c r="T127" s="447"/>
      <c r="U127" s="447"/>
      <c r="V127" s="447"/>
      <c r="W127" s="447"/>
      <c r="X127" s="447"/>
      <c r="Y127" s="447"/>
      <c r="Z127" s="447"/>
      <c r="AA127" s="447"/>
      <c r="AB127" s="447"/>
      <c r="AC127" s="447"/>
      <c r="AD127" s="447"/>
      <c r="AE127" s="447"/>
      <c r="AF127" s="447"/>
      <c r="AG127" s="447"/>
    </row>
    <row r="128" spans="1:33" s="132" customFormat="1">
      <c r="A128" s="555"/>
      <c r="G128" s="447"/>
      <c r="H128" s="447"/>
      <c r="I128" s="447"/>
      <c r="J128" s="447"/>
      <c r="K128" s="447"/>
      <c r="L128" s="447"/>
      <c r="M128" s="447"/>
      <c r="N128" s="447"/>
      <c r="O128" s="447"/>
      <c r="P128" s="447"/>
      <c r="Q128" s="447"/>
      <c r="R128" s="447"/>
      <c r="S128" s="447"/>
      <c r="T128" s="447"/>
      <c r="U128" s="447"/>
      <c r="V128" s="447"/>
      <c r="W128" s="447"/>
      <c r="X128" s="447"/>
      <c r="Y128" s="447"/>
      <c r="Z128" s="447"/>
      <c r="AA128" s="447"/>
      <c r="AB128" s="447"/>
      <c r="AC128" s="447"/>
      <c r="AD128" s="447"/>
      <c r="AE128" s="447"/>
      <c r="AF128" s="447"/>
      <c r="AG128" s="447"/>
    </row>
    <row r="129" spans="1:33" s="132" customFormat="1">
      <c r="A129" s="555"/>
      <c r="G129" s="447"/>
      <c r="H129" s="447"/>
      <c r="I129" s="447"/>
      <c r="J129" s="447"/>
      <c r="K129" s="447"/>
      <c r="L129" s="447"/>
      <c r="M129" s="447"/>
      <c r="N129" s="447"/>
      <c r="O129" s="447"/>
      <c r="P129" s="447"/>
      <c r="Q129" s="447"/>
      <c r="R129" s="447"/>
      <c r="S129" s="447"/>
      <c r="T129" s="447"/>
      <c r="U129" s="447"/>
      <c r="V129" s="447"/>
      <c r="W129" s="447"/>
      <c r="X129" s="447"/>
      <c r="Y129" s="447"/>
      <c r="Z129" s="447"/>
      <c r="AA129" s="447"/>
      <c r="AB129" s="447"/>
      <c r="AC129" s="447"/>
      <c r="AD129" s="447"/>
      <c r="AE129" s="447"/>
      <c r="AF129" s="447"/>
      <c r="AG129" s="447"/>
    </row>
    <row r="130" spans="1:33" s="132" customFormat="1">
      <c r="A130" s="555"/>
      <c r="G130" s="447"/>
      <c r="H130" s="447"/>
      <c r="I130" s="447"/>
      <c r="J130" s="447"/>
      <c r="K130" s="447"/>
      <c r="L130" s="447"/>
      <c r="M130" s="447"/>
      <c r="N130" s="447"/>
      <c r="O130" s="447"/>
      <c r="P130" s="447"/>
      <c r="Q130" s="447"/>
      <c r="R130" s="447"/>
      <c r="S130" s="447"/>
      <c r="T130" s="447"/>
      <c r="U130" s="447"/>
      <c r="V130" s="447"/>
      <c r="W130" s="447"/>
      <c r="X130" s="447"/>
      <c r="Y130" s="447"/>
      <c r="Z130" s="447"/>
      <c r="AA130" s="447"/>
      <c r="AB130" s="447"/>
      <c r="AC130" s="447"/>
      <c r="AD130" s="447"/>
      <c r="AE130" s="447"/>
      <c r="AF130" s="447"/>
      <c r="AG130" s="447"/>
    </row>
    <row r="131" spans="1:33" s="132" customFormat="1">
      <c r="A131" s="555"/>
      <c r="G131" s="447"/>
      <c r="H131" s="447"/>
      <c r="I131" s="44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7"/>
      <c r="AA131" s="447"/>
      <c r="AB131" s="447"/>
      <c r="AC131" s="447"/>
      <c r="AD131" s="447"/>
      <c r="AE131" s="447"/>
      <c r="AF131" s="447"/>
      <c r="AG131" s="447"/>
    </row>
    <row r="132" spans="1:33" s="132" customFormat="1">
      <c r="A132" s="555"/>
      <c r="G132" s="447"/>
      <c r="H132" s="447"/>
      <c r="I132" s="447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7"/>
      <c r="AA132" s="447"/>
      <c r="AB132" s="447"/>
      <c r="AC132" s="447"/>
      <c r="AD132" s="447"/>
      <c r="AE132" s="447"/>
      <c r="AF132" s="447"/>
      <c r="AG132" s="447"/>
    </row>
    <row r="133" spans="1:33" s="132" customFormat="1">
      <c r="A133" s="555"/>
      <c r="G133" s="447"/>
      <c r="H133" s="447"/>
      <c r="I133" s="447"/>
      <c r="J133" s="447"/>
      <c r="K133" s="447"/>
      <c r="L133" s="447"/>
      <c r="M133" s="447"/>
      <c r="N133" s="447"/>
      <c r="O133" s="447"/>
      <c r="P133" s="447"/>
      <c r="Q133" s="447"/>
      <c r="R133" s="447"/>
      <c r="S133" s="447"/>
      <c r="T133" s="447"/>
      <c r="U133" s="447"/>
      <c r="V133" s="447"/>
      <c r="W133" s="447"/>
      <c r="X133" s="447"/>
      <c r="Y133" s="447"/>
      <c r="Z133" s="447"/>
      <c r="AA133" s="447"/>
      <c r="AB133" s="447"/>
      <c r="AC133" s="447"/>
      <c r="AD133" s="447"/>
      <c r="AE133" s="447"/>
      <c r="AF133" s="447"/>
      <c r="AG133" s="447"/>
    </row>
    <row r="134" spans="1:33" s="132" customFormat="1">
      <c r="A134" s="555"/>
      <c r="G134" s="447"/>
      <c r="H134" s="447"/>
      <c r="I134" s="44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7"/>
      <c r="AA134" s="447"/>
      <c r="AB134" s="447"/>
      <c r="AC134" s="447"/>
      <c r="AD134" s="447"/>
      <c r="AE134" s="447"/>
      <c r="AF134" s="447"/>
      <c r="AG134" s="447"/>
    </row>
    <row r="135" spans="1:33" s="132" customFormat="1">
      <c r="A135" s="555"/>
      <c r="G135" s="447"/>
      <c r="H135" s="447"/>
      <c r="I135" s="447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7"/>
      <c r="AA135" s="447"/>
      <c r="AB135" s="447"/>
      <c r="AC135" s="447"/>
      <c r="AD135" s="447"/>
      <c r="AE135" s="447"/>
      <c r="AF135" s="447"/>
      <c r="AG135" s="447"/>
    </row>
    <row r="136" spans="1:33" s="132" customFormat="1">
      <c r="A136" s="555"/>
      <c r="G136" s="447"/>
      <c r="H136" s="447"/>
      <c r="I136" s="447"/>
      <c r="J136" s="447"/>
      <c r="K136" s="447"/>
      <c r="L136" s="447"/>
      <c r="M136" s="447"/>
      <c r="N136" s="447"/>
      <c r="O136" s="447"/>
      <c r="P136" s="447"/>
      <c r="Q136" s="447"/>
      <c r="R136" s="447"/>
      <c r="S136" s="447"/>
      <c r="T136" s="447"/>
      <c r="U136" s="447"/>
      <c r="V136" s="447"/>
      <c r="W136" s="447"/>
      <c r="X136" s="447"/>
      <c r="Y136" s="447"/>
      <c r="Z136" s="447"/>
      <c r="AA136" s="447"/>
      <c r="AB136" s="447"/>
      <c r="AC136" s="447"/>
      <c r="AD136" s="447"/>
      <c r="AE136" s="447"/>
      <c r="AF136" s="447"/>
      <c r="AG136" s="447"/>
    </row>
    <row r="137" spans="1:33" s="132" customFormat="1">
      <c r="A137" s="555"/>
      <c r="G137" s="447"/>
      <c r="H137" s="447"/>
      <c r="I137" s="447"/>
      <c r="J137" s="447"/>
      <c r="K137" s="447"/>
      <c r="L137" s="447"/>
      <c r="M137" s="447"/>
      <c r="N137" s="447"/>
      <c r="O137" s="447"/>
      <c r="P137" s="447"/>
      <c r="Q137" s="447"/>
      <c r="R137" s="447"/>
      <c r="S137" s="447"/>
      <c r="T137" s="447"/>
      <c r="U137" s="447"/>
      <c r="V137" s="447"/>
      <c r="W137" s="447"/>
      <c r="X137" s="447"/>
      <c r="Y137" s="447"/>
      <c r="Z137" s="447"/>
      <c r="AA137" s="447"/>
      <c r="AB137" s="447"/>
      <c r="AC137" s="447"/>
      <c r="AD137" s="447"/>
      <c r="AE137" s="447"/>
      <c r="AF137" s="447"/>
      <c r="AG137" s="447"/>
    </row>
    <row r="138" spans="1:33" s="132" customFormat="1">
      <c r="A138" s="555"/>
      <c r="G138" s="447"/>
      <c r="H138" s="447"/>
      <c r="I138" s="447"/>
      <c r="J138" s="447"/>
      <c r="K138" s="447"/>
      <c r="L138" s="447"/>
      <c r="M138" s="447"/>
      <c r="N138" s="447"/>
      <c r="O138" s="447"/>
      <c r="P138" s="447"/>
      <c r="Q138" s="447"/>
      <c r="R138" s="447"/>
      <c r="S138" s="447"/>
      <c r="T138" s="447"/>
      <c r="U138" s="447"/>
      <c r="V138" s="447"/>
      <c r="W138" s="447"/>
      <c r="X138" s="447"/>
      <c r="Y138" s="447"/>
      <c r="Z138" s="447"/>
      <c r="AA138" s="447"/>
      <c r="AB138" s="447"/>
      <c r="AC138" s="447"/>
      <c r="AD138" s="447"/>
      <c r="AE138" s="447"/>
      <c r="AF138" s="447"/>
      <c r="AG138" s="447"/>
    </row>
    <row r="139" spans="1:33" s="132" customFormat="1">
      <c r="A139" s="555"/>
      <c r="G139" s="447"/>
      <c r="H139" s="447"/>
      <c r="I139" s="447"/>
      <c r="J139" s="447"/>
      <c r="K139" s="447"/>
      <c r="L139" s="447"/>
      <c r="M139" s="447"/>
      <c r="N139" s="447"/>
      <c r="O139" s="447"/>
      <c r="P139" s="447"/>
      <c r="Q139" s="447"/>
      <c r="R139" s="447"/>
      <c r="S139" s="447"/>
      <c r="T139" s="447"/>
      <c r="U139" s="447"/>
      <c r="V139" s="447"/>
      <c r="W139" s="447"/>
      <c r="X139" s="447"/>
      <c r="Y139" s="447"/>
      <c r="Z139" s="447"/>
      <c r="AA139" s="447"/>
      <c r="AB139" s="447"/>
      <c r="AC139" s="447"/>
      <c r="AD139" s="447"/>
      <c r="AE139" s="447"/>
      <c r="AF139" s="447"/>
      <c r="AG139" s="447"/>
    </row>
    <row r="140" spans="1:33" s="132" customFormat="1">
      <c r="A140" s="555"/>
      <c r="G140" s="447"/>
      <c r="H140" s="447"/>
      <c r="I140" s="447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7"/>
      <c r="AA140" s="447"/>
      <c r="AB140" s="447"/>
      <c r="AC140" s="447"/>
      <c r="AD140" s="447"/>
      <c r="AE140" s="447"/>
      <c r="AF140" s="447"/>
      <c r="AG140" s="447"/>
    </row>
    <row r="141" spans="1:33" s="132" customFormat="1">
      <c r="A141" s="555"/>
      <c r="G141" s="447"/>
      <c r="H141" s="447"/>
      <c r="I141" s="447"/>
      <c r="J141" s="447"/>
      <c r="K141" s="447"/>
      <c r="L141" s="447"/>
      <c r="M141" s="447"/>
      <c r="N141" s="447"/>
      <c r="O141" s="447"/>
      <c r="P141" s="447"/>
      <c r="Q141" s="447"/>
      <c r="R141" s="447"/>
      <c r="S141" s="447"/>
      <c r="T141" s="447"/>
      <c r="U141" s="447"/>
      <c r="V141" s="447"/>
      <c r="W141" s="447"/>
      <c r="X141" s="447"/>
      <c r="Y141" s="447"/>
      <c r="Z141" s="447"/>
      <c r="AA141" s="447"/>
      <c r="AB141" s="447"/>
      <c r="AC141" s="447"/>
      <c r="AD141" s="447"/>
      <c r="AE141" s="447"/>
      <c r="AF141" s="447"/>
      <c r="AG141" s="447"/>
    </row>
    <row r="142" spans="1:33" s="132" customFormat="1">
      <c r="A142" s="555"/>
      <c r="G142" s="447"/>
      <c r="H142" s="447"/>
      <c r="I142" s="447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/>
      <c r="W142" s="447"/>
      <c r="X142" s="447"/>
      <c r="Y142" s="447"/>
      <c r="Z142" s="447"/>
      <c r="AA142" s="447"/>
      <c r="AB142" s="447"/>
      <c r="AC142" s="447"/>
      <c r="AD142" s="447"/>
      <c r="AE142" s="447"/>
      <c r="AF142" s="447"/>
      <c r="AG142" s="447"/>
    </row>
    <row r="143" spans="1:33" s="132" customFormat="1">
      <c r="A143" s="555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  <c r="AC143" s="447"/>
      <c r="AD143" s="447"/>
      <c r="AE143" s="447"/>
      <c r="AF143" s="447"/>
      <c r="AG143" s="447"/>
    </row>
    <row r="144" spans="1:33" s="132" customFormat="1">
      <c r="A144" s="555"/>
      <c r="G144" s="447"/>
      <c r="H144" s="447"/>
      <c r="I144" s="447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7"/>
      <c r="AA144" s="447"/>
      <c r="AB144" s="447"/>
      <c r="AC144" s="447"/>
      <c r="AD144" s="447"/>
      <c r="AE144" s="447"/>
      <c r="AF144" s="447"/>
      <c r="AG144" s="447"/>
    </row>
    <row r="145" spans="1:33" s="132" customFormat="1">
      <c r="A145" s="555"/>
      <c r="G145" s="447"/>
      <c r="H145" s="447"/>
      <c r="I145" s="447"/>
      <c r="J145" s="447"/>
      <c r="K145" s="447"/>
      <c r="L145" s="447"/>
      <c r="M145" s="447"/>
      <c r="N145" s="447"/>
      <c r="O145" s="447"/>
      <c r="P145" s="447"/>
      <c r="Q145" s="447"/>
      <c r="R145" s="447"/>
      <c r="S145" s="447"/>
      <c r="T145" s="447"/>
      <c r="U145" s="447"/>
      <c r="V145" s="447"/>
      <c r="W145" s="447"/>
      <c r="X145" s="447"/>
      <c r="Y145" s="447"/>
      <c r="Z145" s="447"/>
      <c r="AA145" s="447"/>
      <c r="AB145" s="447"/>
      <c r="AC145" s="447"/>
      <c r="AD145" s="447"/>
      <c r="AE145" s="447"/>
      <c r="AF145" s="447"/>
      <c r="AG145" s="447"/>
    </row>
    <row r="146" spans="1:33" s="132" customFormat="1">
      <c r="A146" s="555"/>
      <c r="G146" s="447"/>
      <c r="H146" s="447"/>
      <c r="I146" s="447"/>
      <c r="J146" s="447"/>
      <c r="K146" s="447"/>
      <c r="L146" s="447"/>
      <c r="M146" s="447"/>
      <c r="N146" s="447"/>
      <c r="O146" s="447"/>
      <c r="P146" s="447"/>
      <c r="Q146" s="447"/>
      <c r="R146" s="447"/>
      <c r="S146" s="447"/>
      <c r="T146" s="447"/>
      <c r="U146" s="447"/>
      <c r="V146" s="447"/>
      <c r="W146" s="447"/>
      <c r="X146" s="447"/>
      <c r="Y146" s="447"/>
      <c r="Z146" s="447"/>
      <c r="AA146" s="447"/>
      <c r="AB146" s="447"/>
      <c r="AC146" s="447"/>
      <c r="AD146" s="447"/>
      <c r="AE146" s="447"/>
      <c r="AF146" s="447"/>
      <c r="AG146" s="447"/>
    </row>
    <row r="147" spans="1:33" s="132" customFormat="1">
      <c r="A147" s="555"/>
      <c r="G147" s="447"/>
      <c r="H147" s="447"/>
      <c r="I147" s="44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7"/>
      <c r="AC147" s="447"/>
      <c r="AD147" s="447"/>
      <c r="AE147" s="447"/>
      <c r="AF147" s="447"/>
      <c r="AG147" s="447"/>
    </row>
    <row r="148" spans="1:33" s="132" customFormat="1">
      <c r="A148" s="555"/>
      <c r="G148" s="447"/>
      <c r="H148" s="447"/>
      <c r="I148" s="447"/>
      <c r="J148" s="447"/>
      <c r="K148" s="447"/>
      <c r="L148" s="447"/>
      <c r="M148" s="447"/>
      <c r="N148" s="447"/>
      <c r="O148" s="447"/>
      <c r="P148" s="447"/>
      <c r="Q148" s="447"/>
      <c r="R148" s="447"/>
      <c r="S148" s="447"/>
      <c r="T148" s="447"/>
      <c r="U148" s="447"/>
      <c r="V148" s="447"/>
      <c r="W148" s="447"/>
      <c r="X148" s="447"/>
      <c r="Y148" s="447"/>
      <c r="Z148" s="447"/>
      <c r="AA148" s="447"/>
      <c r="AB148" s="447"/>
      <c r="AC148" s="447"/>
      <c r="AD148" s="447"/>
      <c r="AE148" s="447"/>
      <c r="AF148" s="447"/>
      <c r="AG148" s="447"/>
    </row>
    <row r="149" spans="1:33" s="132" customFormat="1">
      <c r="A149" s="555"/>
      <c r="G149" s="447"/>
      <c r="H149" s="447"/>
      <c r="I149" s="447"/>
      <c r="J149" s="447"/>
      <c r="K149" s="447"/>
      <c r="L149" s="447"/>
      <c r="M149" s="447"/>
      <c r="N149" s="447"/>
      <c r="O149" s="447"/>
      <c r="P149" s="447"/>
      <c r="Q149" s="447"/>
      <c r="R149" s="447"/>
      <c r="S149" s="447"/>
      <c r="T149" s="447"/>
      <c r="U149" s="447"/>
      <c r="V149" s="447"/>
      <c r="W149" s="447"/>
      <c r="X149" s="447"/>
      <c r="Y149" s="447"/>
      <c r="Z149" s="447"/>
      <c r="AA149" s="447"/>
      <c r="AB149" s="447"/>
      <c r="AC149" s="447"/>
      <c r="AD149" s="447"/>
      <c r="AE149" s="447"/>
      <c r="AF149" s="447"/>
      <c r="AG149" s="447"/>
    </row>
    <row r="150" spans="1:33" s="132" customFormat="1">
      <c r="A150" s="555"/>
      <c r="G150" s="447"/>
      <c r="H150" s="447"/>
      <c r="I150" s="447"/>
      <c r="J150" s="447"/>
      <c r="K150" s="447"/>
      <c r="L150" s="447"/>
      <c r="M150" s="447"/>
      <c r="N150" s="447"/>
      <c r="O150" s="447"/>
      <c r="P150" s="447"/>
      <c r="Q150" s="447"/>
      <c r="R150" s="447"/>
      <c r="S150" s="447"/>
      <c r="T150" s="447"/>
      <c r="U150" s="447"/>
      <c r="V150" s="447"/>
      <c r="W150" s="447"/>
      <c r="X150" s="447"/>
      <c r="Y150" s="447"/>
      <c r="Z150" s="447"/>
      <c r="AA150" s="447"/>
      <c r="AB150" s="447"/>
      <c r="AC150" s="447"/>
      <c r="AD150" s="447"/>
      <c r="AE150" s="447"/>
      <c r="AF150" s="447"/>
      <c r="AG150" s="447"/>
    </row>
    <row r="151" spans="1:33" s="132" customFormat="1">
      <c r="A151" s="555"/>
      <c r="G151" s="447"/>
      <c r="H151" s="447"/>
      <c r="I151" s="447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7"/>
      <c r="AA151" s="447"/>
      <c r="AB151" s="447"/>
      <c r="AC151" s="447"/>
      <c r="AD151" s="447"/>
      <c r="AE151" s="447"/>
      <c r="AF151" s="447"/>
      <c r="AG151" s="447"/>
    </row>
    <row r="152" spans="1:33" s="132" customFormat="1">
      <c r="A152" s="555"/>
      <c r="G152" s="447"/>
      <c r="H152" s="447"/>
      <c r="I152" s="447"/>
      <c r="J152" s="447"/>
      <c r="K152" s="447"/>
      <c r="L152" s="447"/>
      <c r="M152" s="447"/>
      <c r="N152" s="447"/>
      <c r="O152" s="447"/>
      <c r="P152" s="447"/>
      <c r="Q152" s="447"/>
      <c r="R152" s="447"/>
      <c r="S152" s="447"/>
      <c r="T152" s="447"/>
      <c r="U152" s="447"/>
      <c r="V152" s="447"/>
      <c r="W152" s="447"/>
      <c r="X152" s="447"/>
      <c r="Y152" s="447"/>
      <c r="Z152" s="447"/>
      <c r="AA152" s="447"/>
      <c r="AB152" s="447"/>
      <c r="AC152" s="447"/>
      <c r="AD152" s="447"/>
      <c r="AE152" s="447"/>
      <c r="AF152" s="447"/>
      <c r="AG152" s="447"/>
    </row>
    <row r="153" spans="1:33" s="132" customFormat="1">
      <c r="A153" s="555"/>
      <c r="G153" s="447"/>
      <c r="H153" s="447"/>
      <c r="I153" s="447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7"/>
      <c r="AC153" s="447"/>
      <c r="AD153" s="447"/>
      <c r="AE153" s="447"/>
      <c r="AF153" s="447"/>
      <c r="AG153" s="447"/>
    </row>
    <row r="154" spans="1:33" s="132" customFormat="1">
      <c r="A154" s="555"/>
      <c r="G154" s="447"/>
      <c r="H154" s="447"/>
      <c r="I154" s="44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7"/>
      <c r="AC154" s="447"/>
      <c r="AD154" s="447"/>
      <c r="AE154" s="447"/>
      <c r="AF154" s="447"/>
      <c r="AG154" s="447"/>
    </row>
    <row r="155" spans="1:33" s="132" customFormat="1">
      <c r="A155" s="555"/>
      <c r="G155" s="447"/>
      <c r="H155" s="447"/>
      <c r="I155" s="447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7"/>
      <c r="AC155" s="447"/>
      <c r="AD155" s="447"/>
      <c r="AE155" s="447"/>
      <c r="AF155" s="447"/>
      <c r="AG155" s="447"/>
    </row>
    <row r="156" spans="1:33" s="132" customFormat="1">
      <c r="A156" s="555"/>
      <c r="G156" s="447"/>
      <c r="H156" s="447"/>
      <c r="I156" s="44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7"/>
      <c r="AC156" s="447"/>
      <c r="AD156" s="447"/>
      <c r="AE156" s="447"/>
      <c r="AF156" s="447"/>
      <c r="AG156" s="447"/>
    </row>
    <row r="157" spans="1:33" s="132" customFormat="1">
      <c r="A157" s="555"/>
      <c r="G157" s="447"/>
      <c r="H157" s="447"/>
      <c r="I157" s="447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7"/>
      <c r="AA157" s="447"/>
      <c r="AB157" s="447"/>
      <c r="AC157" s="447"/>
      <c r="AD157" s="447"/>
      <c r="AE157" s="447"/>
      <c r="AF157" s="447"/>
      <c r="AG157" s="447"/>
    </row>
    <row r="158" spans="1:33" s="132" customFormat="1">
      <c r="A158" s="555"/>
      <c r="G158" s="447"/>
      <c r="H158" s="447"/>
      <c r="I158" s="447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7"/>
      <c r="AC158" s="447"/>
      <c r="AD158" s="447"/>
      <c r="AE158" s="447"/>
      <c r="AF158" s="447"/>
      <c r="AG158" s="447"/>
    </row>
    <row r="159" spans="1:33" s="132" customFormat="1">
      <c r="A159" s="555"/>
      <c r="G159" s="447"/>
      <c r="H159" s="447"/>
      <c r="I159" s="44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7"/>
      <c r="AA159" s="447"/>
      <c r="AB159" s="447"/>
      <c r="AC159" s="447"/>
      <c r="AD159" s="447"/>
      <c r="AE159" s="447"/>
      <c r="AF159" s="447"/>
      <c r="AG159" s="447"/>
    </row>
    <row r="160" spans="1:33" s="132" customFormat="1">
      <c r="A160" s="555"/>
      <c r="G160" s="447"/>
      <c r="H160" s="447"/>
      <c r="I160" s="447"/>
      <c r="J160" s="447"/>
      <c r="K160" s="447"/>
      <c r="L160" s="447"/>
      <c r="M160" s="447"/>
      <c r="N160" s="447"/>
      <c r="O160" s="447"/>
      <c r="P160" s="447"/>
      <c r="Q160" s="447"/>
      <c r="R160" s="447"/>
      <c r="S160" s="447"/>
      <c r="T160" s="447"/>
      <c r="U160" s="447"/>
      <c r="V160" s="447"/>
      <c r="W160" s="447"/>
      <c r="X160" s="447"/>
      <c r="Y160" s="447"/>
      <c r="Z160" s="447"/>
      <c r="AA160" s="447"/>
      <c r="AB160" s="447"/>
      <c r="AC160" s="447"/>
      <c r="AD160" s="447"/>
      <c r="AE160" s="447"/>
      <c r="AF160" s="447"/>
      <c r="AG160" s="447"/>
    </row>
    <row r="161" spans="1:33" s="132" customFormat="1">
      <c r="A161" s="555"/>
      <c r="G161" s="447"/>
      <c r="H161" s="447"/>
      <c r="I161" s="447"/>
      <c r="J161" s="447"/>
      <c r="K161" s="447"/>
      <c r="L161" s="447"/>
      <c r="M161" s="447"/>
      <c r="N161" s="447"/>
      <c r="O161" s="447"/>
      <c r="P161" s="447"/>
      <c r="Q161" s="447"/>
      <c r="R161" s="447"/>
      <c r="S161" s="447"/>
      <c r="T161" s="447"/>
      <c r="U161" s="447"/>
      <c r="V161" s="447"/>
      <c r="W161" s="447"/>
      <c r="X161" s="447"/>
      <c r="Y161" s="447"/>
      <c r="Z161" s="447"/>
      <c r="AA161" s="447"/>
      <c r="AB161" s="447"/>
      <c r="AC161" s="447"/>
      <c r="AD161" s="447"/>
      <c r="AE161" s="447"/>
      <c r="AF161" s="447"/>
      <c r="AG161" s="447"/>
    </row>
    <row r="162" spans="1:33" s="132" customFormat="1">
      <c r="A162" s="555"/>
      <c r="G162" s="447"/>
      <c r="H162" s="447"/>
      <c r="I162" s="447"/>
      <c r="J162" s="447"/>
      <c r="K162" s="447"/>
      <c r="L162" s="447"/>
      <c r="M162" s="447"/>
      <c r="N162" s="447"/>
      <c r="O162" s="447"/>
      <c r="P162" s="447"/>
      <c r="Q162" s="447"/>
      <c r="R162" s="447"/>
      <c r="S162" s="447"/>
      <c r="T162" s="447"/>
      <c r="U162" s="447"/>
      <c r="V162" s="447"/>
      <c r="W162" s="447"/>
      <c r="X162" s="447"/>
      <c r="Y162" s="447"/>
      <c r="Z162" s="447"/>
      <c r="AA162" s="447"/>
      <c r="AB162" s="447"/>
      <c r="AC162" s="447"/>
      <c r="AD162" s="447"/>
      <c r="AE162" s="447"/>
      <c r="AF162" s="447"/>
      <c r="AG162" s="447"/>
    </row>
    <row r="163" spans="1:33" s="132" customFormat="1">
      <c r="A163" s="555"/>
      <c r="G163" s="447"/>
      <c r="H163" s="447"/>
      <c r="I163" s="447"/>
      <c r="J163" s="447"/>
      <c r="K163" s="447"/>
      <c r="L163" s="447"/>
      <c r="M163" s="447"/>
      <c r="N163" s="447"/>
      <c r="O163" s="447"/>
      <c r="P163" s="447"/>
      <c r="Q163" s="447"/>
      <c r="R163" s="447"/>
      <c r="S163" s="447"/>
      <c r="T163" s="447"/>
      <c r="U163" s="447"/>
      <c r="V163" s="447"/>
      <c r="W163" s="447"/>
      <c r="X163" s="447"/>
      <c r="Y163" s="447"/>
      <c r="Z163" s="447"/>
      <c r="AA163" s="447"/>
      <c r="AB163" s="447"/>
      <c r="AC163" s="447"/>
      <c r="AD163" s="447"/>
      <c r="AE163" s="447"/>
      <c r="AF163" s="447"/>
      <c r="AG163" s="447"/>
    </row>
    <row r="164" spans="1:33" s="132" customFormat="1">
      <c r="A164" s="555"/>
      <c r="G164" s="447"/>
      <c r="H164" s="447"/>
      <c r="I164" s="447"/>
      <c r="J164" s="447"/>
      <c r="K164" s="447"/>
      <c r="L164" s="447"/>
      <c r="M164" s="447"/>
      <c r="N164" s="447"/>
      <c r="O164" s="447"/>
      <c r="P164" s="447"/>
      <c r="Q164" s="447"/>
      <c r="R164" s="447"/>
      <c r="S164" s="447"/>
      <c r="T164" s="447"/>
      <c r="U164" s="447"/>
      <c r="V164" s="447"/>
      <c r="W164" s="447"/>
      <c r="X164" s="447"/>
      <c r="Y164" s="447"/>
      <c r="Z164" s="447"/>
      <c r="AA164" s="447"/>
      <c r="AB164" s="447"/>
      <c r="AC164" s="447"/>
      <c r="AD164" s="447"/>
      <c r="AE164" s="447"/>
      <c r="AF164" s="447"/>
      <c r="AG164" s="447"/>
    </row>
    <row r="165" spans="1:33" s="132" customFormat="1">
      <c r="A165" s="555"/>
      <c r="G165" s="447"/>
      <c r="H165" s="447"/>
      <c r="I165" s="447"/>
      <c r="J165" s="447"/>
      <c r="K165" s="447"/>
      <c r="L165" s="447"/>
      <c r="M165" s="447"/>
      <c r="N165" s="447"/>
      <c r="O165" s="447"/>
      <c r="P165" s="447"/>
      <c r="Q165" s="447"/>
      <c r="R165" s="447"/>
      <c r="S165" s="447"/>
      <c r="T165" s="447"/>
      <c r="U165" s="447"/>
      <c r="V165" s="447"/>
      <c r="W165" s="447"/>
      <c r="X165" s="447"/>
      <c r="Y165" s="447"/>
      <c r="Z165" s="447"/>
      <c r="AA165" s="447"/>
      <c r="AB165" s="447"/>
      <c r="AC165" s="447"/>
      <c r="AD165" s="447"/>
      <c r="AE165" s="447"/>
      <c r="AF165" s="447"/>
      <c r="AG165" s="447"/>
    </row>
    <row r="166" spans="1:33" s="132" customFormat="1">
      <c r="A166" s="555"/>
      <c r="G166" s="447"/>
      <c r="H166" s="447"/>
      <c r="I166" s="447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7"/>
      <c r="AA166" s="447"/>
      <c r="AB166" s="447"/>
      <c r="AC166" s="447"/>
      <c r="AD166" s="447"/>
      <c r="AE166" s="447"/>
      <c r="AF166" s="447"/>
      <c r="AG166" s="447"/>
    </row>
    <row r="167" spans="1:33" s="132" customFormat="1">
      <c r="A167" s="555"/>
      <c r="G167" s="447"/>
      <c r="H167" s="447"/>
      <c r="I167" s="447"/>
      <c r="J167" s="447"/>
      <c r="K167" s="447"/>
      <c r="L167" s="447"/>
      <c r="M167" s="447"/>
      <c r="N167" s="447"/>
      <c r="O167" s="447"/>
      <c r="P167" s="447"/>
      <c r="Q167" s="447"/>
      <c r="R167" s="447"/>
      <c r="S167" s="447"/>
      <c r="T167" s="447"/>
      <c r="U167" s="447"/>
      <c r="V167" s="447"/>
      <c r="W167" s="447"/>
      <c r="X167" s="447"/>
      <c r="Y167" s="447"/>
      <c r="Z167" s="447"/>
      <c r="AA167" s="447"/>
      <c r="AB167" s="447"/>
      <c r="AC167" s="447"/>
      <c r="AD167" s="447"/>
      <c r="AE167" s="447"/>
      <c r="AF167" s="447"/>
      <c r="AG167" s="447"/>
    </row>
    <row r="168" spans="1:33" s="132" customFormat="1">
      <c r="A168" s="555"/>
      <c r="G168" s="447"/>
      <c r="H168" s="447"/>
      <c r="I168" s="447"/>
      <c r="J168" s="447"/>
      <c r="K168" s="447"/>
      <c r="L168" s="447"/>
      <c r="M168" s="447"/>
      <c r="N168" s="447"/>
      <c r="O168" s="447"/>
      <c r="P168" s="447"/>
      <c r="Q168" s="447"/>
      <c r="R168" s="447"/>
      <c r="S168" s="447"/>
      <c r="T168" s="447"/>
      <c r="U168" s="447"/>
      <c r="V168" s="447"/>
      <c r="W168" s="447"/>
      <c r="X168" s="447"/>
      <c r="Y168" s="447"/>
      <c r="Z168" s="447"/>
      <c r="AA168" s="447"/>
      <c r="AB168" s="447"/>
      <c r="AC168" s="447"/>
      <c r="AD168" s="447"/>
      <c r="AE168" s="447"/>
      <c r="AF168" s="447"/>
      <c r="AG168" s="447"/>
    </row>
    <row r="169" spans="1:33" s="132" customFormat="1">
      <c r="A169" s="555"/>
      <c r="G169" s="447"/>
      <c r="H169" s="447"/>
      <c r="I169" s="447"/>
      <c r="J169" s="447"/>
      <c r="K169" s="447"/>
      <c r="L169" s="447"/>
      <c r="M169" s="447"/>
      <c r="N169" s="447"/>
      <c r="O169" s="447"/>
      <c r="P169" s="447"/>
      <c r="Q169" s="447"/>
      <c r="R169" s="447"/>
      <c r="S169" s="447"/>
      <c r="T169" s="447"/>
      <c r="U169" s="447"/>
      <c r="V169" s="447"/>
      <c r="W169" s="447"/>
      <c r="X169" s="447"/>
      <c r="Y169" s="447"/>
      <c r="Z169" s="447"/>
      <c r="AA169" s="447"/>
      <c r="AB169" s="447"/>
      <c r="AC169" s="447"/>
      <c r="AD169" s="447"/>
      <c r="AE169" s="447"/>
      <c r="AF169" s="447"/>
      <c r="AG169" s="447"/>
    </row>
    <row r="170" spans="1:33" s="132" customFormat="1">
      <c r="A170" s="555"/>
      <c r="G170" s="447"/>
      <c r="H170" s="447"/>
      <c r="I170" s="447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7"/>
      <c r="AA170" s="447"/>
      <c r="AB170" s="447"/>
      <c r="AC170" s="447"/>
      <c r="AD170" s="447"/>
      <c r="AE170" s="447"/>
      <c r="AF170" s="447"/>
      <c r="AG170" s="447"/>
    </row>
    <row r="171" spans="1:33" s="132" customFormat="1">
      <c r="A171" s="555"/>
      <c r="G171" s="447"/>
      <c r="H171" s="447"/>
      <c r="I171" s="447"/>
      <c r="J171" s="447"/>
      <c r="K171" s="447"/>
      <c r="L171" s="447"/>
      <c r="M171" s="447"/>
      <c r="N171" s="447"/>
      <c r="O171" s="447"/>
      <c r="P171" s="447"/>
      <c r="Q171" s="447"/>
      <c r="R171" s="447"/>
      <c r="S171" s="447"/>
      <c r="T171" s="447"/>
      <c r="U171" s="447"/>
      <c r="V171" s="447"/>
      <c r="W171" s="447"/>
      <c r="X171" s="447"/>
      <c r="Y171" s="447"/>
      <c r="Z171" s="447"/>
      <c r="AA171" s="447"/>
      <c r="AB171" s="447"/>
      <c r="AC171" s="447"/>
      <c r="AD171" s="447"/>
      <c r="AE171" s="447"/>
      <c r="AF171" s="447"/>
      <c r="AG171" s="447"/>
    </row>
    <row r="172" spans="1:33" s="132" customFormat="1">
      <c r="A172" s="555"/>
      <c r="G172" s="447"/>
      <c r="H172" s="447"/>
      <c r="I172" s="447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7"/>
      <c r="AA172" s="447"/>
      <c r="AB172" s="447"/>
      <c r="AC172" s="447"/>
      <c r="AD172" s="447"/>
      <c r="AE172" s="447"/>
      <c r="AF172" s="447"/>
      <c r="AG172" s="447"/>
    </row>
    <row r="173" spans="1:33" s="132" customFormat="1">
      <c r="A173" s="555"/>
      <c r="G173" s="447"/>
      <c r="H173" s="447"/>
      <c r="I173" s="447"/>
      <c r="J173" s="447"/>
      <c r="K173" s="447"/>
      <c r="L173" s="447"/>
      <c r="M173" s="447"/>
      <c r="N173" s="447"/>
      <c r="O173" s="447"/>
      <c r="P173" s="447"/>
      <c r="Q173" s="447"/>
      <c r="R173" s="447"/>
      <c r="S173" s="447"/>
      <c r="T173" s="447"/>
      <c r="U173" s="447"/>
      <c r="V173" s="447"/>
      <c r="W173" s="447"/>
      <c r="X173" s="447"/>
      <c r="Y173" s="447"/>
      <c r="Z173" s="447"/>
      <c r="AA173" s="447"/>
      <c r="AB173" s="447"/>
      <c r="AC173" s="447"/>
      <c r="AD173" s="447"/>
      <c r="AE173" s="447"/>
      <c r="AF173" s="447"/>
      <c r="AG173" s="447"/>
    </row>
    <row r="174" spans="1:33" s="132" customFormat="1">
      <c r="A174" s="555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  <c r="AC174" s="447"/>
      <c r="AD174" s="447"/>
      <c r="AE174" s="447"/>
      <c r="AF174" s="447"/>
      <c r="AG174" s="447"/>
    </row>
    <row r="175" spans="1:33" s="132" customFormat="1">
      <c r="A175" s="555"/>
      <c r="G175" s="447"/>
      <c r="H175" s="447"/>
      <c r="I175" s="447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7"/>
      <c r="AA175" s="447"/>
      <c r="AB175" s="447"/>
      <c r="AC175" s="447"/>
      <c r="AD175" s="447"/>
      <c r="AE175" s="447"/>
      <c r="AF175" s="447"/>
      <c r="AG175" s="447"/>
    </row>
    <row r="176" spans="1:33" s="132" customFormat="1">
      <c r="A176" s="555"/>
      <c r="G176" s="447"/>
      <c r="H176" s="447"/>
      <c r="I176" s="447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7"/>
      <c r="AC176" s="447"/>
      <c r="AD176" s="447"/>
      <c r="AE176" s="447"/>
      <c r="AF176" s="447"/>
      <c r="AG176" s="447"/>
    </row>
    <row r="177" spans="1:33" s="132" customFormat="1">
      <c r="A177" s="555"/>
      <c r="G177" s="447"/>
      <c r="H177" s="447"/>
      <c r="I177" s="447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7"/>
      <c r="AC177" s="447"/>
      <c r="AD177" s="447"/>
      <c r="AE177" s="447"/>
      <c r="AF177" s="447"/>
      <c r="AG177" s="447"/>
    </row>
    <row r="178" spans="1:33" s="132" customFormat="1">
      <c r="A178" s="555"/>
      <c r="G178" s="447"/>
      <c r="H178" s="447"/>
      <c r="I178" s="447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7"/>
      <c r="AC178" s="447"/>
      <c r="AD178" s="447"/>
      <c r="AE178" s="447"/>
      <c r="AF178" s="447"/>
      <c r="AG178" s="447"/>
    </row>
    <row r="179" spans="1:33" s="132" customFormat="1">
      <c r="A179" s="555"/>
      <c r="G179" s="447"/>
      <c r="H179" s="447"/>
      <c r="I179" s="447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7"/>
      <c r="AC179" s="447"/>
      <c r="AD179" s="447"/>
      <c r="AE179" s="447"/>
      <c r="AF179" s="447"/>
      <c r="AG179" s="447"/>
    </row>
    <row r="180" spans="1:33" s="132" customFormat="1">
      <c r="A180" s="555"/>
      <c r="G180" s="447"/>
      <c r="H180" s="447"/>
      <c r="I180" s="447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7"/>
      <c r="AC180" s="447"/>
      <c r="AD180" s="447"/>
      <c r="AE180" s="447"/>
      <c r="AF180" s="447"/>
      <c r="AG180" s="447"/>
    </row>
    <row r="181" spans="1:33" s="132" customFormat="1">
      <c r="A181" s="555"/>
      <c r="G181" s="447"/>
      <c r="H181" s="447"/>
      <c r="I181" s="447"/>
      <c r="J181" s="447"/>
      <c r="K181" s="447"/>
      <c r="L181" s="447"/>
      <c r="M181" s="447"/>
      <c r="N181" s="447"/>
      <c r="O181" s="447"/>
      <c r="P181" s="447"/>
      <c r="Q181" s="447"/>
      <c r="R181" s="447"/>
      <c r="S181" s="447"/>
      <c r="T181" s="447"/>
      <c r="U181" s="447"/>
      <c r="V181" s="447"/>
      <c r="W181" s="447"/>
      <c r="X181" s="447"/>
      <c r="Y181" s="447"/>
      <c r="Z181" s="447"/>
      <c r="AA181" s="447"/>
      <c r="AB181" s="447"/>
      <c r="AC181" s="447"/>
      <c r="AD181" s="447"/>
      <c r="AE181" s="447"/>
      <c r="AF181" s="447"/>
      <c r="AG181" s="447"/>
    </row>
    <row r="182" spans="1:33" s="132" customFormat="1">
      <c r="A182" s="555"/>
      <c r="G182" s="447"/>
      <c r="H182" s="447"/>
      <c r="I182" s="447"/>
      <c r="J182" s="447"/>
      <c r="K182" s="447"/>
      <c r="L182" s="447"/>
      <c r="M182" s="447"/>
      <c r="N182" s="447"/>
      <c r="O182" s="447"/>
      <c r="P182" s="447"/>
      <c r="Q182" s="447"/>
      <c r="R182" s="447"/>
      <c r="S182" s="447"/>
      <c r="T182" s="447"/>
      <c r="U182" s="447"/>
      <c r="V182" s="447"/>
      <c r="W182" s="447"/>
      <c r="X182" s="447"/>
      <c r="Y182" s="447"/>
      <c r="Z182" s="447"/>
      <c r="AA182" s="447"/>
      <c r="AB182" s="447"/>
      <c r="AC182" s="447"/>
      <c r="AD182" s="447"/>
      <c r="AE182" s="447"/>
      <c r="AF182" s="447"/>
      <c r="AG182" s="447"/>
    </row>
    <row r="183" spans="1:33" s="132" customFormat="1">
      <c r="A183" s="555"/>
      <c r="G183" s="447"/>
      <c r="H183" s="447"/>
      <c r="I183" s="447"/>
      <c r="J183" s="447"/>
      <c r="K183" s="447"/>
      <c r="L183" s="447"/>
      <c r="M183" s="447"/>
      <c r="N183" s="447"/>
      <c r="O183" s="447"/>
      <c r="P183" s="447"/>
      <c r="Q183" s="447"/>
      <c r="R183" s="447"/>
      <c r="S183" s="447"/>
      <c r="T183" s="447"/>
      <c r="U183" s="447"/>
      <c r="V183" s="447"/>
      <c r="W183" s="447"/>
      <c r="X183" s="447"/>
      <c r="Y183" s="447"/>
      <c r="Z183" s="447"/>
      <c r="AA183" s="447"/>
      <c r="AB183" s="447"/>
      <c r="AC183" s="447"/>
      <c r="AD183" s="447"/>
      <c r="AE183" s="447"/>
      <c r="AF183" s="447"/>
      <c r="AG183" s="447"/>
    </row>
    <row r="184" spans="1:33" s="132" customFormat="1">
      <c r="A184" s="555"/>
      <c r="G184" s="447"/>
      <c r="H184" s="447"/>
      <c r="I184" s="447"/>
      <c r="J184" s="447"/>
      <c r="K184" s="447"/>
      <c r="L184" s="447"/>
      <c r="M184" s="447"/>
      <c r="N184" s="447"/>
      <c r="O184" s="447"/>
      <c r="P184" s="447"/>
      <c r="Q184" s="447"/>
      <c r="R184" s="447"/>
      <c r="S184" s="447"/>
      <c r="T184" s="447"/>
      <c r="U184" s="447"/>
      <c r="V184" s="447"/>
      <c r="W184" s="447"/>
      <c r="X184" s="447"/>
      <c r="Y184" s="447"/>
      <c r="Z184" s="447"/>
      <c r="AA184" s="447"/>
      <c r="AB184" s="447"/>
      <c r="AC184" s="447"/>
      <c r="AD184" s="447"/>
      <c r="AE184" s="447"/>
      <c r="AF184" s="447"/>
      <c r="AG184" s="447"/>
    </row>
    <row r="185" spans="1:33" s="132" customFormat="1">
      <c r="A185" s="555"/>
      <c r="G185" s="447"/>
      <c r="H185" s="447"/>
      <c r="I185" s="447"/>
      <c r="J185" s="447"/>
      <c r="K185" s="447"/>
      <c r="L185" s="447"/>
      <c r="M185" s="447"/>
      <c r="N185" s="447"/>
      <c r="O185" s="447"/>
      <c r="P185" s="447"/>
      <c r="Q185" s="447"/>
      <c r="R185" s="447"/>
      <c r="S185" s="447"/>
      <c r="T185" s="447"/>
      <c r="U185" s="447"/>
      <c r="V185" s="447"/>
      <c r="W185" s="447"/>
      <c r="X185" s="447"/>
      <c r="Y185" s="447"/>
      <c r="Z185" s="447"/>
      <c r="AA185" s="447"/>
      <c r="AB185" s="447"/>
      <c r="AC185" s="447"/>
      <c r="AD185" s="447"/>
      <c r="AE185" s="447"/>
      <c r="AF185" s="447"/>
      <c r="AG185" s="447"/>
    </row>
    <row r="186" spans="1:33" s="132" customFormat="1">
      <c r="A186" s="555"/>
      <c r="G186" s="447"/>
      <c r="H186" s="447"/>
      <c r="I186" s="447"/>
      <c r="J186" s="447"/>
      <c r="K186" s="447"/>
      <c r="L186" s="447"/>
      <c r="M186" s="447"/>
      <c r="N186" s="447"/>
      <c r="O186" s="447"/>
      <c r="P186" s="447"/>
      <c r="Q186" s="447"/>
      <c r="R186" s="447"/>
      <c r="S186" s="447"/>
      <c r="T186" s="447"/>
      <c r="U186" s="447"/>
      <c r="V186" s="447"/>
      <c r="W186" s="447"/>
      <c r="X186" s="447"/>
      <c r="Y186" s="447"/>
      <c r="Z186" s="447"/>
      <c r="AA186" s="447"/>
      <c r="AB186" s="447"/>
      <c r="AC186" s="447"/>
      <c r="AD186" s="447"/>
      <c r="AE186" s="447"/>
      <c r="AF186" s="447"/>
      <c r="AG186" s="447"/>
    </row>
    <row r="187" spans="1:33" s="132" customFormat="1">
      <c r="A187" s="555"/>
      <c r="G187" s="447"/>
      <c r="H187" s="447"/>
      <c r="I187" s="447"/>
      <c r="J187" s="447"/>
      <c r="K187" s="447"/>
      <c r="L187" s="447"/>
      <c r="M187" s="447"/>
      <c r="N187" s="447"/>
      <c r="O187" s="447"/>
      <c r="P187" s="447"/>
      <c r="Q187" s="447"/>
      <c r="R187" s="447"/>
      <c r="S187" s="447"/>
      <c r="T187" s="447"/>
      <c r="U187" s="447"/>
      <c r="V187" s="447"/>
      <c r="W187" s="447"/>
      <c r="X187" s="447"/>
      <c r="Y187" s="447"/>
      <c r="Z187" s="447"/>
      <c r="AA187" s="447"/>
      <c r="AB187" s="447"/>
      <c r="AC187" s="447"/>
      <c r="AD187" s="447"/>
      <c r="AE187" s="447"/>
      <c r="AF187" s="447"/>
      <c r="AG187" s="447"/>
    </row>
    <row r="188" spans="1:33" s="132" customFormat="1">
      <c r="A188" s="555"/>
      <c r="G188" s="447"/>
      <c r="H188" s="447"/>
      <c r="I188" s="44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/>
      <c r="Y188" s="447"/>
      <c r="Z188" s="447"/>
      <c r="AA188" s="447"/>
      <c r="AB188" s="447"/>
      <c r="AC188" s="447"/>
      <c r="AD188" s="447"/>
      <c r="AE188" s="447"/>
      <c r="AF188" s="447"/>
      <c r="AG188" s="447"/>
    </row>
    <row r="189" spans="1:33" s="132" customFormat="1">
      <c r="A189" s="555"/>
      <c r="G189" s="447"/>
      <c r="H189" s="447"/>
      <c r="I189" s="447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7"/>
      <c r="AC189" s="447"/>
      <c r="AD189" s="447"/>
      <c r="AE189" s="447"/>
      <c r="AF189" s="447"/>
      <c r="AG189" s="447"/>
    </row>
    <row r="190" spans="1:33" s="132" customFormat="1">
      <c r="A190" s="555"/>
      <c r="G190" s="447"/>
      <c r="H190" s="447"/>
      <c r="I190" s="447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7"/>
      <c r="AC190" s="447"/>
      <c r="AD190" s="447"/>
      <c r="AE190" s="447"/>
      <c r="AF190" s="447"/>
      <c r="AG190" s="447"/>
    </row>
    <row r="191" spans="1:33" s="132" customFormat="1">
      <c r="A191" s="555"/>
      <c r="G191" s="447"/>
      <c r="H191" s="447"/>
      <c r="I191" s="447"/>
      <c r="J191" s="447"/>
      <c r="K191" s="447"/>
      <c r="L191" s="447"/>
      <c r="M191" s="447"/>
      <c r="N191" s="447"/>
      <c r="O191" s="447"/>
      <c r="P191" s="447"/>
      <c r="Q191" s="447"/>
      <c r="R191" s="447"/>
      <c r="S191" s="447"/>
      <c r="T191" s="447"/>
      <c r="U191" s="447"/>
      <c r="V191" s="447"/>
      <c r="W191" s="447"/>
      <c r="X191" s="447"/>
      <c r="Y191" s="447"/>
      <c r="Z191" s="447"/>
      <c r="AA191" s="447"/>
      <c r="AB191" s="447"/>
      <c r="AC191" s="447"/>
      <c r="AD191" s="447"/>
      <c r="AE191" s="447"/>
      <c r="AF191" s="447"/>
      <c r="AG191" s="447"/>
    </row>
    <row r="192" spans="1:33" s="132" customFormat="1">
      <c r="A192" s="555"/>
      <c r="G192" s="447"/>
      <c r="H192" s="447"/>
      <c r="I192" s="447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7"/>
      <c r="AC192" s="447"/>
      <c r="AD192" s="447"/>
      <c r="AE192" s="447"/>
      <c r="AF192" s="447"/>
      <c r="AG192" s="447"/>
    </row>
    <row r="193" spans="1:33" s="132" customFormat="1">
      <c r="A193" s="555"/>
      <c r="G193" s="447"/>
      <c r="H193" s="447"/>
      <c r="I193" s="447"/>
      <c r="J193" s="447"/>
      <c r="K193" s="447"/>
      <c r="L193" s="447"/>
      <c r="M193" s="447"/>
      <c r="N193" s="447"/>
      <c r="O193" s="447"/>
      <c r="P193" s="447"/>
      <c r="Q193" s="447"/>
      <c r="R193" s="447"/>
      <c r="S193" s="447"/>
      <c r="T193" s="447"/>
      <c r="U193" s="447"/>
      <c r="V193" s="447"/>
      <c r="W193" s="447"/>
      <c r="X193" s="447"/>
      <c r="Y193" s="447"/>
      <c r="Z193" s="447"/>
      <c r="AA193" s="447"/>
      <c r="AB193" s="447"/>
      <c r="AC193" s="447"/>
      <c r="AD193" s="447"/>
      <c r="AE193" s="447"/>
      <c r="AF193" s="447"/>
      <c r="AG193" s="447"/>
    </row>
    <row r="194" spans="1:33" s="132" customFormat="1">
      <c r="A194" s="555"/>
      <c r="G194" s="447"/>
      <c r="H194" s="447"/>
      <c r="I194" s="447"/>
      <c r="J194" s="447"/>
      <c r="K194" s="447"/>
      <c r="L194" s="447"/>
      <c r="M194" s="447"/>
      <c r="N194" s="447"/>
      <c r="O194" s="447"/>
      <c r="P194" s="447"/>
      <c r="Q194" s="447"/>
      <c r="R194" s="447"/>
      <c r="S194" s="447"/>
      <c r="T194" s="447"/>
      <c r="U194" s="447"/>
      <c r="V194" s="447"/>
      <c r="W194" s="447"/>
      <c r="X194" s="447"/>
      <c r="Y194" s="447"/>
      <c r="Z194" s="447"/>
      <c r="AA194" s="447"/>
      <c r="AB194" s="447"/>
      <c r="AC194" s="447"/>
      <c r="AD194" s="447"/>
      <c r="AE194" s="447"/>
      <c r="AF194" s="447"/>
      <c r="AG194" s="447"/>
    </row>
    <row r="195" spans="1:33" s="132" customFormat="1">
      <c r="A195" s="555"/>
      <c r="G195" s="447"/>
      <c r="H195" s="447"/>
      <c r="I195" s="447"/>
      <c r="J195" s="447"/>
      <c r="K195" s="447"/>
      <c r="L195" s="447"/>
      <c r="M195" s="447"/>
      <c r="N195" s="447"/>
      <c r="O195" s="447"/>
      <c r="P195" s="447"/>
      <c r="Q195" s="447"/>
      <c r="R195" s="447"/>
      <c r="S195" s="447"/>
      <c r="T195" s="447"/>
      <c r="U195" s="447"/>
      <c r="V195" s="447"/>
      <c r="W195" s="447"/>
      <c r="X195" s="447"/>
      <c r="Y195" s="447"/>
      <c r="Z195" s="447"/>
      <c r="AA195" s="447"/>
      <c r="AB195" s="447"/>
      <c r="AC195" s="447"/>
      <c r="AD195" s="447"/>
      <c r="AE195" s="447"/>
      <c r="AF195" s="447"/>
      <c r="AG195" s="447"/>
    </row>
    <row r="196" spans="1:33" s="132" customFormat="1">
      <c r="A196" s="555"/>
      <c r="G196" s="447"/>
      <c r="H196" s="447"/>
      <c r="I196" s="447"/>
      <c r="J196" s="447"/>
      <c r="K196" s="447"/>
      <c r="L196" s="447"/>
      <c r="M196" s="447"/>
      <c r="N196" s="447"/>
      <c r="O196" s="447"/>
      <c r="P196" s="447"/>
      <c r="Q196" s="447"/>
      <c r="R196" s="447"/>
      <c r="S196" s="447"/>
      <c r="T196" s="447"/>
      <c r="U196" s="447"/>
      <c r="V196" s="447"/>
      <c r="W196" s="447"/>
      <c r="X196" s="447"/>
      <c r="Y196" s="447"/>
      <c r="Z196" s="447"/>
      <c r="AA196" s="447"/>
      <c r="AB196" s="447"/>
      <c r="AC196" s="447"/>
      <c r="AD196" s="447"/>
      <c r="AE196" s="447"/>
      <c r="AF196" s="447"/>
      <c r="AG196" s="447"/>
    </row>
    <row r="197" spans="1:33" s="132" customFormat="1">
      <c r="A197" s="555"/>
      <c r="G197" s="447"/>
      <c r="H197" s="447"/>
      <c r="I197" s="447"/>
      <c r="J197" s="447"/>
      <c r="K197" s="447"/>
      <c r="L197" s="447"/>
      <c r="M197" s="447"/>
      <c r="N197" s="447"/>
      <c r="O197" s="447"/>
      <c r="P197" s="447"/>
      <c r="Q197" s="447"/>
      <c r="R197" s="447"/>
      <c r="S197" s="447"/>
      <c r="T197" s="447"/>
      <c r="U197" s="447"/>
      <c r="V197" s="447"/>
      <c r="W197" s="447"/>
      <c r="X197" s="447"/>
      <c r="Y197" s="447"/>
      <c r="Z197" s="447"/>
      <c r="AA197" s="447"/>
      <c r="AB197" s="447"/>
      <c r="AC197" s="447"/>
      <c r="AD197" s="447"/>
      <c r="AE197" s="447"/>
      <c r="AF197" s="447"/>
      <c r="AG197" s="447"/>
    </row>
    <row r="198" spans="1:33" s="132" customFormat="1">
      <c r="A198" s="555"/>
      <c r="G198" s="447"/>
      <c r="H198" s="447"/>
      <c r="I198" s="447"/>
      <c r="J198" s="447"/>
      <c r="K198" s="447"/>
      <c r="L198" s="447"/>
      <c r="M198" s="447"/>
      <c r="N198" s="447"/>
      <c r="O198" s="447"/>
      <c r="P198" s="447"/>
      <c r="Q198" s="447"/>
      <c r="R198" s="447"/>
      <c r="S198" s="447"/>
      <c r="T198" s="447"/>
      <c r="U198" s="447"/>
      <c r="V198" s="447"/>
      <c r="W198" s="447"/>
      <c r="X198" s="447"/>
      <c r="Y198" s="447"/>
      <c r="Z198" s="447"/>
      <c r="AA198" s="447"/>
      <c r="AB198" s="447"/>
      <c r="AC198" s="447"/>
      <c r="AD198" s="447"/>
      <c r="AE198" s="447"/>
      <c r="AF198" s="447"/>
      <c r="AG198" s="447"/>
    </row>
    <row r="199" spans="1:33" s="132" customFormat="1">
      <c r="A199" s="555"/>
      <c r="G199" s="447"/>
      <c r="H199" s="447"/>
      <c r="I199" s="447"/>
      <c r="J199" s="447"/>
      <c r="K199" s="447"/>
      <c r="L199" s="447"/>
      <c r="M199" s="447"/>
      <c r="N199" s="447"/>
      <c r="O199" s="447"/>
      <c r="P199" s="447"/>
      <c r="Q199" s="447"/>
      <c r="R199" s="447"/>
      <c r="S199" s="447"/>
      <c r="T199" s="447"/>
      <c r="U199" s="447"/>
      <c r="V199" s="447"/>
      <c r="W199" s="447"/>
      <c r="X199" s="447"/>
      <c r="Y199" s="447"/>
      <c r="Z199" s="447"/>
      <c r="AA199" s="447"/>
      <c r="AB199" s="447"/>
      <c r="AC199" s="447"/>
      <c r="AD199" s="447"/>
      <c r="AE199" s="447"/>
      <c r="AF199" s="447"/>
      <c r="AG199" s="447"/>
    </row>
    <row r="200" spans="1:33" s="132" customFormat="1">
      <c r="A200" s="555"/>
      <c r="G200" s="447"/>
      <c r="H200" s="447"/>
      <c r="I200" s="447"/>
      <c r="J200" s="447"/>
      <c r="K200" s="447"/>
      <c r="L200" s="447"/>
      <c r="M200" s="447"/>
      <c r="N200" s="447"/>
      <c r="O200" s="447"/>
      <c r="P200" s="447"/>
      <c r="Q200" s="447"/>
      <c r="R200" s="447"/>
      <c r="S200" s="447"/>
      <c r="T200" s="447"/>
      <c r="U200" s="447"/>
      <c r="V200" s="447"/>
      <c r="W200" s="447"/>
      <c r="X200" s="447"/>
      <c r="Y200" s="447"/>
      <c r="Z200" s="447"/>
      <c r="AA200" s="447"/>
      <c r="AB200" s="447"/>
      <c r="AC200" s="447"/>
      <c r="AD200" s="447"/>
      <c r="AE200" s="447"/>
      <c r="AF200" s="447"/>
      <c r="AG200" s="447"/>
    </row>
    <row r="201" spans="1:33" s="132" customFormat="1">
      <c r="A201" s="555"/>
      <c r="G201" s="447"/>
      <c r="H201" s="447"/>
      <c r="I201" s="447"/>
      <c r="J201" s="447"/>
      <c r="K201" s="447"/>
      <c r="L201" s="447"/>
      <c r="M201" s="447"/>
      <c r="N201" s="447"/>
      <c r="O201" s="447"/>
      <c r="P201" s="447"/>
      <c r="Q201" s="447"/>
      <c r="R201" s="447"/>
      <c r="S201" s="447"/>
      <c r="T201" s="447"/>
      <c r="U201" s="447"/>
      <c r="V201" s="447"/>
      <c r="W201" s="447"/>
      <c r="X201" s="447"/>
      <c r="Y201" s="447"/>
      <c r="Z201" s="447"/>
      <c r="AA201" s="447"/>
      <c r="AB201" s="447"/>
      <c r="AC201" s="447"/>
      <c r="AD201" s="447"/>
      <c r="AE201" s="447"/>
      <c r="AF201" s="447"/>
      <c r="AG201" s="447"/>
    </row>
    <row r="202" spans="1:33" s="132" customFormat="1">
      <c r="A202" s="555"/>
      <c r="G202" s="447"/>
      <c r="H202" s="447"/>
      <c r="I202" s="447"/>
      <c r="J202" s="447"/>
      <c r="K202" s="447"/>
      <c r="L202" s="447"/>
      <c r="M202" s="447"/>
      <c r="N202" s="447"/>
      <c r="O202" s="447"/>
      <c r="P202" s="447"/>
      <c r="Q202" s="447"/>
      <c r="R202" s="447"/>
      <c r="S202" s="447"/>
      <c r="T202" s="447"/>
      <c r="U202" s="447"/>
      <c r="V202" s="447"/>
      <c r="W202" s="447"/>
      <c r="X202" s="447"/>
      <c r="Y202" s="447"/>
      <c r="Z202" s="447"/>
      <c r="AA202" s="447"/>
      <c r="AB202" s="447"/>
      <c r="AC202" s="447"/>
      <c r="AD202" s="447"/>
      <c r="AE202" s="447"/>
      <c r="AF202" s="447"/>
      <c r="AG202" s="447"/>
    </row>
    <row r="203" spans="1:33" s="132" customFormat="1">
      <c r="A203" s="555"/>
      <c r="G203" s="447"/>
      <c r="H203" s="447"/>
      <c r="I203" s="447"/>
      <c r="J203" s="447"/>
      <c r="K203" s="447"/>
      <c r="L203" s="447"/>
      <c r="M203" s="447"/>
      <c r="N203" s="447"/>
      <c r="O203" s="447"/>
      <c r="P203" s="447"/>
      <c r="Q203" s="447"/>
      <c r="R203" s="447"/>
      <c r="S203" s="447"/>
      <c r="T203" s="447"/>
      <c r="U203" s="447"/>
      <c r="V203" s="447"/>
      <c r="W203" s="447"/>
      <c r="X203" s="447"/>
      <c r="Y203" s="447"/>
      <c r="Z203" s="447"/>
      <c r="AA203" s="447"/>
      <c r="AB203" s="447"/>
      <c r="AC203" s="447"/>
      <c r="AD203" s="447"/>
      <c r="AE203" s="447"/>
      <c r="AF203" s="447"/>
      <c r="AG203" s="447"/>
    </row>
    <row r="204" spans="1:33" s="132" customFormat="1">
      <c r="A204" s="555"/>
      <c r="G204" s="447"/>
      <c r="H204" s="447"/>
      <c r="I204" s="447"/>
      <c r="J204" s="447"/>
      <c r="K204" s="447"/>
      <c r="L204" s="447"/>
      <c r="M204" s="447"/>
      <c r="N204" s="447"/>
      <c r="O204" s="447"/>
      <c r="P204" s="447"/>
      <c r="Q204" s="447"/>
      <c r="R204" s="447"/>
      <c r="S204" s="447"/>
      <c r="T204" s="447"/>
      <c r="U204" s="447"/>
      <c r="V204" s="447"/>
      <c r="W204" s="447"/>
      <c r="X204" s="447"/>
      <c r="Y204" s="447"/>
      <c r="Z204" s="447"/>
      <c r="AA204" s="447"/>
      <c r="AB204" s="447"/>
      <c r="AC204" s="447"/>
      <c r="AD204" s="447"/>
      <c r="AE204" s="447"/>
      <c r="AF204" s="447"/>
      <c r="AG204" s="447"/>
    </row>
    <row r="205" spans="1:33" s="132" customFormat="1">
      <c r="A205" s="555"/>
      <c r="G205" s="447"/>
      <c r="H205" s="447"/>
      <c r="I205" s="447"/>
      <c r="J205" s="447"/>
      <c r="K205" s="447"/>
      <c r="L205" s="447"/>
      <c r="M205" s="447"/>
      <c r="N205" s="447"/>
      <c r="O205" s="447"/>
      <c r="P205" s="447"/>
      <c r="Q205" s="447"/>
      <c r="R205" s="447"/>
      <c r="S205" s="447"/>
      <c r="T205" s="447"/>
      <c r="U205" s="447"/>
      <c r="V205" s="447"/>
      <c r="W205" s="447"/>
      <c r="X205" s="447"/>
      <c r="Y205" s="447"/>
      <c r="Z205" s="447"/>
      <c r="AA205" s="447"/>
      <c r="AB205" s="447"/>
      <c r="AC205" s="447"/>
      <c r="AD205" s="447"/>
      <c r="AE205" s="447"/>
      <c r="AF205" s="447"/>
      <c r="AG205" s="447"/>
    </row>
    <row r="206" spans="1:33" s="132" customFormat="1">
      <c r="A206" s="555"/>
      <c r="G206" s="447"/>
      <c r="H206" s="447"/>
      <c r="I206" s="447"/>
      <c r="J206" s="447"/>
      <c r="K206" s="447"/>
      <c r="L206" s="447"/>
      <c r="M206" s="447"/>
      <c r="N206" s="447"/>
      <c r="O206" s="447"/>
      <c r="P206" s="447"/>
      <c r="Q206" s="447"/>
      <c r="R206" s="447"/>
      <c r="S206" s="447"/>
      <c r="T206" s="447"/>
      <c r="U206" s="447"/>
      <c r="V206" s="447"/>
      <c r="W206" s="447"/>
      <c r="X206" s="447"/>
      <c r="Y206" s="447"/>
      <c r="Z206" s="447"/>
      <c r="AA206" s="447"/>
      <c r="AB206" s="447"/>
      <c r="AC206" s="447"/>
      <c r="AD206" s="447"/>
      <c r="AE206" s="447"/>
      <c r="AF206" s="447"/>
      <c r="AG206" s="447"/>
    </row>
    <row r="207" spans="1:33" s="132" customFormat="1">
      <c r="A207" s="555"/>
      <c r="G207" s="447"/>
      <c r="H207" s="447"/>
      <c r="I207" s="447"/>
      <c r="J207" s="447"/>
      <c r="K207" s="447"/>
      <c r="L207" s="447"/>
      <c r="M207" s="447"/>
      <c r="N207" s="447"/>
      <c r="O207" s="447"/>
      <c r="P207" s="447"/>
      <c r="Q207" s="447"/>
      <c r="R207" s="447"/>
      <c r="S207" s="447"/>
      <c r="T207" s="447"/>
      <c r="U207" s="447"/>
      <c r="V207" s="447"/>
      <c r="W207" s="447"/>
      <c r="X207" s="447"/>
      <c r="Y207" s="447"/>
      <c r="Z207" s="447"/>
      <c r="AA207" s="447"/>
      <c r="AB207" s="447"/>
      <c r="AC207" s="447"/>
      <c r="AD207" s="447"/>
      <c r="AE207" s="447"/>
      <c r="AF207" s="447"/>
      <c r="AG207" s="447"/>
    </row>
    <row r="208" spans="1:33" s="132" customFormat="1">
      <c r="A208" s="555"/>
      <c r="G208" s="447"/>
      <c r="H208" s="447"/>
      <c r="I208" s="447"/>
      <c r="J208" s="447"/>
      <c r="K208" s="447"/>
      <c r="L208" s="447"/>
      <c r="M208" s="447"/>
      <c r="N208" s="447"/>
      <c r="O208" s="447"/>
      <c r="P208" s="447"/>
      <c r="Q208" s="447"/>
      <c r="R208" s="447"/>
      <c r="S208" s="447"/>
      <c r="T208" s="447"/>
      <c r="U208" s="447"/>
      <c r="V208" s="447"/>
      <c r="W208" s="447"/>
      <c r="X208" s="447"/>
      <c r="Y208" s="447"/>
      <c r="Z208" s="447"/>
      <c r="AA208" s="447"/>
      <c r="AB208" s="447"/>
      <c r="AC208" s="447"/>
      <c r="AD208" s="447"/>
      <c r="AE208" s="447"/>
      <c r="AF208" s="447"/>
      <c r="AG208" s="447"/>
    </row>
    <row r="209" spans="1:33" s="132" customFormat="1">
      <c r="A209" s="555"/>
      <c r="G209" s="447"/>
      <c r="H209" s="447"/>
      <c r="I209" s="447"/>
      <c r="J209" s="447"/>
      <c r="K209" s="447"/>
      <c r="L209" s="447"/>
      <c r="M209" s="447"/>
      <c r="N209" s="447"/>
      <c r="O209" s="447"/>
      <c r="P209" s="447"/>
      <c r="Q209" s="447"/>
      <c r="R209" s="447"/>
      <c r="S209" s="447"/>
      <c r="T209" s="447"/>
      <c r="U209" s="447"/>
      <c r="V209" s="447"/>
      <c r="W209" s="447"/>
      <c r="X209" s="447"/>
      <c r="Y209" s="447"/>
      <c r="Z209" s="447"/>
      <c r="AA209" s="447"/>
      <c r="AB209" s="447"/>
      <c r="AC209" s="447"/>
      <c r="AD209" s="447"/>
      <c r="AE209" s="447"/>
      <c r="AF209" s="447"/>
      <c r="AG209" s="447"/>
    </row>
    <row r="210" spans="1:33" s="132" customFormat="1">
      <c r="A210" s="555"/>
      <c r="G210" s="447"/>
      <c r="H210" s="447"/>
      <c r="I210" s="447"/>
      <c r="J210" s="447"/>
      <c r="K210" s="447"/>
      <c r="L210" s="447"/>
      <c r="M210" s="447"/>
      <c r="N210" s="447"/>
      <c r="O210" s="447"/>
      <c r="P210" s="447"/>
      <c r="Q210" s="447"/>
      <c r="R210" s="447"/>
      <c r="S210" s="447"/>
      <c r="T210" s="447"/>
      <c r="U210" s="447"/>
      <c r="V210" s="447"/>
      <c r="W210" s="447"/>
      <c r="X210" s="447"/>
      <c r="Y210" s="447"/>
      <c r="Z210" s="447"/>
      <c r="AA210" s="447"/>
      <c r="AB210" s="447"/>
      <c r="AC210" s="447"/>
      <c r="AD210" s="447"/>
      <c r="AE210" s="447"/>
      <c r="AF210" s="447"/>
      <c r="AG210" s="447"/>
    </row>
    <row r="211" spans="1:33" s="132" customFormat="1">
      <c r="A211" s="555"/>
      <c r="G211" s="447"/>
      <c r="H211" s="447"/>
      <c r="I211" s="447"/>
      <c r="J211" s="447"/>
      <c r="K211" s="447"/>
      <c r="L211" s="447"/>
      <c r="M211" s="447"/>
      <c r="N211" s="447"/>
      <c r="O211" s="447"/>
      <c r="P211" s="447"/>
      <c r="Q211" s="447"/>
      <c r="R211" s="447"/>
      <c r="S211" s="447"/>
      <c r="T211" s="447"/>
      <c r="U211" s="447"/>
      <c r="V211" s="447"/>
      <c r="W211" s="447"/>
      <c r="X211" s="447"/>
      <c r="Y211" s="447"/>
      <c r="Z211" s="447"/>
      <c r="AA211" s="447"/>
      <c r="AB211" s="447"/>
      <c r="AC211" s="447"/>
      <c r="AD211" s="447"/>
      <c r="AE211" s="447"/>
      <c r="AF211" s="447"/>
      <c r="AG211" s="447"/>
    </row>
    <row r="212" spans="1:33" s="132" customFormat="1">
      <c r="A212" s="555"/>
      <c r="G212" s="447"/>
      <c r="H212" s="447"/>
      <c r="I212" s="447"/>
      <c r="J212" s="447"/>
      <c r="K212" s="447"/>
      <c r="L212" s="447"/>
      <c r="M212" s="447"/>
      <c r="N212" s="447"/>
      <c r="O212" s="447"/>
      <c r="P212" s="447"/>
      <c r="Q212" s="447"/>
      <c r="R212" s="447"/>
      <c r="S212" s="447"/>
      <c r="T212" s="447"/>
      <c r="U212" s="447"/>
      <c r="V212" s="447"/>
      <c r="W212" s="447"/>
      <c r="X212" s="447"/>
      <c r="Y212" s="447"/>
      <c r="Z212" s="447"/>
      <c r="AA212" s="447"/>
      <c r="AB212" s="447"/>
      <c r="AC212" s="447"/>
      <c r="AD212" s="447"/>
      <c r="AE212" s="447"/>
      <c r="AF212" s="447"/>
      <c r="AG212" s="447"/>
    </row>
    <row r="213" spans="1:33" s="132" customFormat="1">
      <c r="A213" s="555"/>
      <c r="G213" s="447"/>
      <c r="H213" s="447"/>
      <c r="I213" s="447"/>
      <c r="J213" s="447"/>
      <c r="K213" s="447"/>
      <c r="L213" s="447"/>
      <c r="M213" s="447"/>
      <c r="N213" s="447"/>
      <c r="O213" s="447"/>
      <c r="P213" s="447"/>
      <c r="Q213" s="447"/>
      <c r="R213" s="447"/>
      <c r="S213" s="447"/>
      <c r="T213" s="447"/>
      <c r="U213" s="447"/>
      <c r="V213" s="447"/>
      <c r="W213" s="447"/>
      <c r="X213" s="447"/>
      <c r="Y213" s="447"/>
      <c r="Z213" s="447"/>
      <c r="AA213" s="447"/>
      <c r="AB213" s="447"/>
      <c r="AC213" s="447"/>
      <c r="AD213" s="447"/>
      <c r="AE213" s="447"/>
      <c r="AF213" s="447"/>
      <c r="AG213" s="447"/>
    </row>
    <row r="214" spans="1:33" s="132" customFormat="1">
      <c r="A214" s="555"/>
      <c r="G214" s="447"/>
      <c r="H214" s="447"/>
      <c r="I214" s="447"/>
      <c r="J214" s="447"/>
      <c r="K214" s="447"/>
      <c r="L214" s="447"/>
      <c r="M214" s="447"/>
      <c r="N214" s="447"/>
      <c r="O214" s="447"/>
      <c r="P214" s="447"/>
      <c r="Q214" s="447"/>
      <c r="R214" s="447"/>
      <c r="S214" s="447"/>
      <c r="T214" s="447"/>
      <c r="U214" s="447"/>
      <c r="V214" s="447"/>
      <c r="W214" s="447"/>
      <c r="X214" s="447"/>
      <c r="Y214" s="447"/>
      <c r="Z214" s="447"/>
      <c r="AA214" s="447"/>
      <c r="AB214" s="447"/>
      <c r="AC214" s="447"/>
      <c r="AD214" s="447"/>
      <c r="AE214" s="447"/>
      <c r="AF214" s="447"/>
      <c r="AG214" s="447"/>
    </row>
    <row r="215" spans="1:33" s="132" customFormat="1">
      <c r="A215" s="555"/>
      <c r="G215" s="447"/>
      <c r="H215" s="447"/>
      <c r="I215" s="447"/>
      <c r="J215" s="447"/>
      <c r="K215" s="447"/>
      <c r="L215" s="447"/>
      <c r="M215" s="447"/>
      <c r="N215" s="447"/>
      <c r="O215" s="447"/>
      <c r="P215" s="447"/>
      <c r="Q215" s="447"/>
      <c r="R215" s="447"/>
      <c r="S215" s="447"/>
      <c r="T215" s="447"/>
      <c r="U215" s="447"/>
      <c r="V215" s="447"/>
      <c r="W215" s="447"/>
      <c r="X215" s="447"/>
      <c r="Y215" s="447"/>
      <c r="Z215" s="447"/>
      <c r="AA215" s="447"/>
      <c r="AB215" s="447"/>
      <c r="AC215" s="447"/>
      <c r="AD215" s="447"/>
      <c r="AE215" s="447"/>
      <c r="AF215" s="447"/>
      <c r="AG215" s="447"/>
    </row>
    <row r="216" spans="1:33" s="132" customFormat="1">
      <c r="A216" s="555"/>
      <c r="G216" s="447"/>
      <c r="H216" s="447"/>
      <c r="I216" s="447"/>
      <c r="J216" s="447"/>
      <c r="K216" s="447"/>
      <c r="L216" s="447"/>
      <c r="M216" s="447"/>
      <c r="N216" s="447"/>
      <c r="O216" s="447"/>
      <c r="P216" s="447"/>
      <c r="Q216" s="447"/>
      <c r="R216" s="447"/>
      <c r="S216" s="447"/>
      <c r="T216" s="447"/>
      <c r="U216" s="447"/>
      <c r="V216" s="447"/>
      <c r="W216" s="447"/>
      <c r="X216" s="447"/>
      <c r="Y216" s="447"/>
      <c r="Z216" s="447"/>
      <c r="AA216" s="447"/>
      <c r="AB216" s="447"/>
      <c r="AC216" s="447"/>
      <c r="AD216" s="447"/>
      <c r="AE216" s="447"/>
      <c r="AF216" s="447"/>
      <c r="AG216" s="447"/>
    </row>
    <row r="217" spans="1:33" s="132" customFormat="1">
      <c r="A217" s="555"/>
      <c r="G217" s="447"/>
      <c r="H217" s="447"/>
      <c r="I217" s="447"/>
      <c r="J217" s="447"/>
      <c r="K217" s="447"/>
      <c r="L217" s="447"/>
      <c r="M217" s="447"/>
      <c r="N217" s="447"/>
      <c r="O217" s="447"/>
      <c r="P217" s="447"/>
      <c r="Q217" s="447"/>
      <c r="R217" s="447"/>
      <c r="S217" s="447"/>
      <c r="T217" s="447"/>
      <c r="U217" s="447"/>
      <c r="V217" s="447"/>
      <c r="W217" s="447"/>
      <c r="X217" s="447"/>
      <c r="Y217" s="447"/>
      <c r="Z217" s="447"/>
      <c r="AA217" s="447"/>
      <c r="AB217" s="447"/>
      <c r="AC217" s="447"/>
      <c r="AD217" s="447"/>
      <c r="AE217" s="447"/>
      <c r="AF217" s="447"/>
      <c r="AG217" s="447"/>
    </row>
    <row r="218" spans="1:33" s="132" customFormat="1">
      <c r="A218" s="555"/>
      <c r="G218" s="447"/>
      <c r="H218" s="447"/>
      <c r="I218" s="447"/>
      <c r="J218" s="447"/>
      <c r="K218" s="447"/>
      <c r="L218" s="447"/>
      <c r="M218" s="447"/>
      <c r="N218" s="447"/>
      <c r="O218" s="447"/>
      <c r="P218" s="447"/>
      <c r="Q218" s="447"/>
      <c r="R218" s="447"/>
      <c r="S218" s="447"/>
      <c r="T218" s="447"/>
      <c r="U218" s="447"/>
      <c r="V218" s="447"/>
      <c r="W218" s="447"/>
      <c r="X218" s="447"/>
      <c r="Y218" s="447"/>
      <c r="Z218" s="447"/>
      <c r="AA218" s="447"/>
      <c r="AB218" s="447"/>
      <c r="AC218" s="447"/>
      <c r="AD218" s="447"/>
      <c r="AE218" s="447"/>
      <c r="AF218" s="447"/>
      <c r="AG218" s="447"/>
    </row>
    <row r="219" spans="1:33" s="132" customFormat="1">
      <c r="A219" s="555"/>
      <c r="G219" s="447"/>
      <c r="H219" s="447"/>
      <c r="I219" s="447"/>
      <c r="J219" s="447"/>
      <c r="K219" s="447"/>
      <c r="L219" s="447"/>
      <c r="M219" s="447"/>
      <c r="N219" s="447"/>
      <c r="O219" s="447"/>
      <c r="P219" s="447"/>
      <c r="Q219" s="447"/>
      <c r="R219" s="447"/>
      <c r="S219" s="447"/>
      <c r="T219" s="447"/>
      <c r="U219" s="447"/>
      <c r="V219" s="447"/>
      <c r="W219" s="447"/>
      <c r="X219" s="447"/>
      <c r="Y219" s="447"/>
      <c r="Z219" s="447"/>
      <c r="AA219" s="447"/>
      <c r="AB219" s="447"/>
      <c r="AC219" s="447"/>
      <c r="AD219" s="447"/>
      <c r="AE219" s="447"/>
      <c r="AF219" s="447"/>
      <c r="AG219" s="447"/>
    </row>
    <row r="220" spans="1:33" s="132" customFormat="1">
      <c r="A220" s="555"/>
      <c r="G220" s="447"/>
      <c r="H220" s="447"/>
      <c r="I220" s="447"/>
      <c r="J220" s="447"/>
      <c r="K220" s="447"/>
      <c r="L220" s="447"/>
      <c r="M220" s="447"/>
      <c r="N220" s="447"/>
      <c r="O220" s="447"/>
      <c r="P220" s="447"/>
      <c r="Q220" s="447"/>
      <c r="R220" s="447"/>
      <c r="S220" s="447"/>
      <c r="T220" s="447"/>
      <c r="U220" s="447"/>
      <c r="V220" s="447"/>
      <c r="W220" s="447"/>
      <c r="X220" s="447"/>
      <c r="Y220" s="447"/>
      <c r="Z220" s="447"/>
      <c r="AA220" s="447"/>
      <c r="AB220" s="447"/>
      <c r="AC220" s="447"/>
      <c r="AD220" s="447"/>
      <c r="AE220" s="447"/>
      <c r="AF220" s="447"/>
      <c r="AG220" s="447"/>
    </row>
    <row r="221" spans="1:33" s="132" customFormat="1">
      <c r="A221" s="555"/>
      <c r="G221" s="447"/>
      <c r="H221" s="447"/>
      <c r="I221" s="447"/>
      <c r="J221" s="447"/>
      <c r="K221" s="447"/>
      <c r="L221" s="447"/>
      <c r="M221" s="447"/>
      <c r="N221" s="447"/>
      <c r="O221" s="447"/>
      <c r="P221" s="447"/>
      <c r="Q221" s="447"/>
      <c r="R221" s="447"/>
      <c r="S221" s="447"/>
      <c r="T221" s="447"/>
      <c r="U221" s="447"/>
      <c r="V221" s="447"/>
      <c r="W221" s="447"/>
      <c r="X221" s="447"/>
      <c r="Y221" s="447"/>
      <c r="Z221" s="447"/>
      <c r="AA221" s="447"/>
      <c r="AB221" s="447"/>
      <c r="AC221" s="447"/>
      <c r="AD221" s="447"/>
      <c r="AE221" s="447"/>
      <c r="AF221" s="447"/>
      <c r="AG221" s="447"/>
    </row>
    <row r="222" spans="1:33" s="132" customFormat="1">
      <c r="A222" s="555"/>
      <c r="G222" s="447"/>
      <c r="H222" s="447"/>
      <c r="I222" s="447"/>
      <c r="J222" s="447"/>
      <c r="K222" s="447"/>
      <c r="L222" s="447"/>
      <c r="M222" s="447"/>
      <c r="N222" s="447"/>
      <c r="O222" s="447"/>
      <c r="P222" s="447"/>
      <c r="Q222" s="447"/>
      <c r="R222" s="447"/>
      <c r="S222" s="447"/>
      <c r="T222" s="447"/>
      <c r="U222" s="447"/>
      <c r="V222" s="447"/>
      <c r="W222" s="447"/>
      <c r="X222" s="447"/>
      <c r="Y222" s="447"/>
      <c r="Z222" s="447"/>
      <c r="AA222" s="447"/>
      <c r="AB222" s="447"/>
      <c r="AC222" s="447"/>
      <c r="AD222" s="447"/>
      <c r="AE222" s="447"/>
      <c r="AF222" s="447"/>
      <c r="AG222" s="447"/>
    </row>
    <row r="223" spans="1:33" s="132" customFormat="1">
      <c r="A223" s="555"/>
      <c r="G223" s="447"/>
      <c r="H223" s="447"/>
      <c r="I223" s="447"/>
      <c r="J223" s="447"/>
      <c r="K223" s="447"/>
      <c r="L223" s="447"/>
      <c r="M223" s="447"/>
      <c r="N223" s="447"/>
      <c r="O223" s="447"/>
      <c r="P223" s="447"/>
      <c r="Q223" s="447"/>
      <c r="R223" s="447"/>
      <c r="S223" s="447"/>
      <c r="T223" s="447"/>
      <c r="U223" s="447"/>
      <c r="V223" s="447"/>
      <c r="W223" s="447"/>
      <c r="X223" s="447"/>
      <c r="Y223" s="447"/>
      <c r="Z223" s="447"/>
      <c r="AA223" s="447"/>
      <c r="AB223" s="447"/>
      <c r="AC223" s="447"/>
      <c r="AD223" s="447"/>
      <c r="AE223" s="447"/>
      <c r="AF223" s="447"/>
      <c r="AG223" s="447"/>
    </row>
    <row r="224" spans="1:33" s="132" customFormat="1">
      <c r="A224" s="555"/>
      <c r="G224" s="447"/>
      <c r="H224" s="447"/>
      <c r="I224" s="447"/>
      <c r="J224" s="447"/>
      <c r="K224" s="447"/>
      <c r="L224" s="447"/>
      <c r="M224" s="447"/>
      <c r="N224" s="447"/>
      <c r="O224" s="447"/>
      <c r="P224" s="447"/>
      <c r="Q224" s="447"/>
      <c r="R224" s="447"/>
      <c r="S224" s="447"/>
      <c r="T224" s="447"/>
      <c r="U224" s="447"/>
      <c r="V224" s="447"/>
      <c r="W224" s="447"/>
      <c r="X224" s="447"/>
      <c r="Y224" s="447"/>
      <c r="Z224" s="447"/>
      <c r="AA224" s="447"/>
      <c r="AB224" s="447"/>
      <c r="AC224" s="447"/>
      <c r="AD224" s="447"/>
      <c r="AE224" s="447"/>
      <c r="AF224" s="447"/>
      <c r="AG224" s="447"/>
    </row>
    <row r="225" spans="1:33" s="132" customFormat="1">
      <c r="A225" s="555"/>
      <c r="G225" s="447"/>
      <c r="H225" s="447"/>
      <c r="I225" s="447"/>
      <c r="J225" s="447"/>
      <c r="K225" s="447"/>
      <c r="L225" s="447"/>
      <c r="M225" s="447"/>
      <c r="N225" s="447"/>
      <c r="O225" s="447"/>
      <c r="P225" s="447"/>
      <c r="Q225" s="447"/>
      <c r="R225" s="447"/>
      <c r="S225" s="447"/>
      <c r="T225" s="447"/>
      <c r="U225" s="447"/>
      <c r="V225" s="447"/>
      <c r="W225" s="447"/>
      <c r="X225" s="447"/>
      <c r="Y225" s="447"/>
      <c r="Z225" s="447"/>
      <c r="AA225" s="447"/>
      <c r="AB225" s="447"/>
      <c r="AC225" s="447"/>
      <c r="AD225" s="447"/>
      <c r="AE225" s="447"/>
      <c r="AF225" s="447"/>
      <c r="AG225" s="447"/>
    </row>
    <row r="226" spans="1:33" s="132" customFormat="1">
      <c r="A226" s="555"/>
      <c r="G226" s="447"/>
      <c r="H226" s="447"/>
      <c r="I226" s="447"/>
      <c r="J226" s="447"/>
      <c r="K226" s="447"/>
      <c r="L226" s="447"/>
      <c r="M226" s="447"/>
      <c r="N226" s="447"/>
      <c r="O226" s="447"/>
      <c r="P226" s="447"/>
      <c r="Q226" s="447"/>
      <c r="R226" s="447"/>
      <c r="S226" s="447"/>
      <c r="T226" s="447"/>
      <c r="U226" s="447"/>
      <c r="V226" s="447"/>
      <c r="W226" s="447"/>
      <c r="X226" s="447"/>
      <c r="Y226" s="447"/>
      <c r="Z226" s="447"/>
      <c r="AA226" s="447"/>
      <c r="AB226" s="447"/>
      <c r="AC226" s="447"/>
      <c r="AD226" s="447"/>
      <c r="AE226" s="447"/>
      <c r="AF226" s="447"/>
      <c r="AG226" s="447"/>
    </row>
    <row r="227" spans="1:33" s="132" customFormat="1">
      <c r="A227" s="555"/>
      <c r="G227" s="447"/>
      <c r="H227" s="447"/>
      <c r="I227" s="447"/>
      <c r="J227" s="447"/>
      <c r="K227" s="447"/>
      <c r="L227" s="447"/>
      <c r="M227" s="447"/>
      <c r="N227" s="447"/>
      <c r="O227" s="447"/>
      <c r="P227" s="447"/>
      <c r="Q227" s="447"/>
      <c r="R227" s="447"/>
      <c r="S227" s="447"/>
      <c r="T227" s="447"/>
      <c r="U227" s="447"/>
      <c r="V227" s="447"/>
      <c r="W227" s="447"/>
      <c r="X227" s="447"/>
      <c r="Y227" s="447"/>
      <c r="Z227" s="447"/>
      <c r="AA227" s="447"/>
      <c r="AB227" s="447"/>
      <c r="AC227" s="447"/>
      <c r="AD227" s="447"/>
      <c r="AE227" s="447"/>
      <c r="AF227" s="447"/>
      <c r="AG227" s="447"/>
    </row>
    <row r="228" spans="1:33" s="132" customFormat="1">
      <c r="A228" s="555"/>
      <c r="G228" s="447"/>
      <c r="H228" s="447"/>
      <c r="I228" s="447"/>
      <c r="J228" s="447"/>
      <c r="K228" s="447"/>
      <c r="L228" s="447"/>
      <c r="M228" s="447"/>
      <c r="N228" s="447"/>
      <c r="O228" s="447"/>
      <c r="P228" s="447"/>
      <c r="Q228" s="447"/>
      <c r="R228" s="447"/>
      <c r="S228" s="447"/>
      <c r="T228" s="447"/>
      <c r="U228" s="447"/>
      <c r="V228" s="447"/>
      <c r="W228" s="447"/>
      <c r="X228" s="447"/>
      <c r="Y228" s="447"/>
      <c r="Z228" s="447"/>
      <c r="AA228" s="447"/>
      <c r="AB228" s="447"/>
      <c r="AC228" s="447"/>
      <c r="AD228" s="447"/>
      <c r="AE228" s="447"/>
      <c r="AF228" s="447"/>
      <c r="AG228" s="447"/>
    </row>
    <row r="229" spans="1:33" s="132" customFormat="1">
      <c r="A229" s="555"/>
      <c r="G229" s="447"/>
      <c r="H229" s="447"/>
      <c r="I229" s="447"/>
      <c r="J229" s="447"/>
      <c r="K229" s="447"/>
      <c r="L229" s="447"/>
      <c r="M229" s="447"/>
      <c r="N229" s="447"/>
      <c r="O229" s="447"/>
      <c r="P229" s="447"/>
      <c r="Q229" s="447"/>
      <c r="R229" s="447"/>
      <c r="S229" s="447"/>
      <c r="T229" s="447"/>
      <c r="U229" s="447"/>
      <c r="V229" s="447"/>
      <c r="W229" s="447"/>
      <c r="X229" s="447"/>
      <c r="Y229" s="447"/>
      <c r="Z229" s="447"/>
      <c r="AA229" s="447"/>
      <c r="AB229" s="447"/>
      <c r="AC229" s="447"/>
      <c r="AD229" s="447"/>
      <c r="AE229" s="447"/>
      <c r="AF229" s="447"/>
      <c r="AG229" s="447"/>
    </row>
    <row r="230" spans="1:33" s="132" customFormat="1">
      <c r="A230" s="555"/>
      <c r="G230" s="447"/>
      <c r="H230" s="447"/>
      <c r="I230" s="447"/>
      <c r="J230" s="447"/>
      <c r="K230" s="447"/>
      <c r="L230" s="447"/>
      <c r="M230" s="447"/>
      <c r="N230" s="447"/>
      <c r="O230" s="447"/>
      <c r="P230" s="447"/>
      <c r="Q230" s="447"/>
      <c r="R230" s="447"/>
      <c r="S230" s="447"/>
      <c r="T230" s="447"/>
      <c r="U230" s="447"/>
      <c r="V230" s="447"/>
      <c r="W230" s="447"/>
      <c r="X230" s="447"/>
      <c r="Y230" s="447"/>
      <c r="Z230" s="447"/>
      <c r="AA230" s="447"/>
      <c r="AB230" s="447"/>
      <c r="AC230" s="447"/>
      <c r="AD230" s="447"/>
      <c r="AE230" s="447"/>
      <c r="AF230" s="447"/>
      <c r="AG230" s="447"/>
    </row>
    <row r="231" spans="1:33" s="132" customFormat="1">
      <c r="A231" s="555"/>
      <c r="G231" s="447"/>
      <c r="H231" s="447"/>
      <c r="I231" s="447"/>
      <c r="J231" s="447"/>
      <c r="K231" s="447"/>
      <c r="L231" s="447"/>
      <c r="M231" s="447"/>
      <c r="N231" s="447"/>
      <c r="O231" s="447"/>
      <c r="P231" s="447"/>
      <c r="Q231" s="447"/>
      <c r="R231" s="447"/>
      <c r="S231" s="447"/>
      <c r="T231" s="447"/>
      <c r="U231" s="447"/>
      <c r="V231" s="447"/>
      <c r="W231" s="447"/>
      <c r="X231" s="447"/>
      <c r="Y231" s="447"/>
      <c r="Z231" s="447"/>
      <c r="AA231" s="447"/>
      <c r="AB231" s="447"/>
      <c r="AC231" s="447"/>
      <c r="AD231" s="447"/>
      <c r="AE231" s="447"/>
      <c r="AF231" s="447"/>
      <c r="AG231" s="447"/>
    </row>
    <row r="232" spans="1:33" s="132" customFormat="1">
      <c r="A232" s="555"/>
      <c r="G232" s="447"/>
      <c r="H232" s="447"/>
      <c r="I232" s="447"/>
      <c r="J232" s="447"/>
      <c r="K232" s="447"/>
      <c r="L232" s="447"/>
      <c r="M232" s="447"/>
      <c r="N232" s="447"/>
      <c r="O232" s="447"/>
      <c r="P232" s="447"/>
      <c r="Q232" s="447"/>
      <c r="R232" s="447"/>
      <c r="S232" s="447"/>
      <c r="T232" s="447"/>
      <c r="U232" s="447"/>
      <c r="V232" s="447"/>
      <c r="W232" s="447"/>
      <c r="X232" s="447"/>
      <c r="Y232" s="447"/>
      <c r="Z232" s="447"/>
      <c r="AA232" s="447"/>
      <c r="AB232" s="447"/>
      <c r="AC232" s="447"/>
      <c r="AD232" s="447"/>
      <c r="AE232" s="447"/>
      <c r="AF232" s="447"/>
      <c r="AG232" s="447"/>
    </row>
    <row r="233" spans="1:33" s="132" customFormat="1">
      <c r="A233" s="555"/>
      <c r="G233" s="447"/>
      <c r="H233" s="447"/>
      <c r="I233" s="447"/>
      <c r="J233" s="447"/>
      <c r="K233" s="447"/>
      <c r="L233" s="447"/>
      <c r="M233" s="447"/>
      <c r="N233" s="447"/>
      <c r="O233" s="447"/>
      <c r="P233" s="447"/>
      <c r="Q233" s="447"/>
      <c r="R233" s="447"/>
      <c r="S233" s="447"/>
      <c r="T233" s="447"/>
      <c r="U233" s="447"/>
      <c r="V233" s="447"/>
      <c r="W233" s="447"/>
      <c r="X233" s="447"/>
      <c r="Y233" s="447"/>
      <c r="Z233" s="447"/>
      <c r="AA233" s="447"/>
      <c r="AB233" s="447"/>
      <c r="AC233" s="447"/>
      <c r="AD233" s="447"/>
      <c r="AE233" s="447"/>
      <c r="AF233" s="447"/>
      <c r="AG233" s="447"/>
    </row>
    <row r="234" spans="1:33" s="132" customFormat="1">
      <c r="A234" s="555"/>
      <c r="G234" s="447"/>
      <c r="H234" s="447"/>
      <c r="I234" s="447"/>
      <c r="J234" s="447"/>
      <c r="K234" s="447"/>
      <c r="L234" s="447"/>
      <c r="M234" s="447"/>
      <c r="N234" s="447"/>
      <c r="O234" s="447"/>
      <c r="P234" s="447"/>
      <c r="Q234" s="447"/>
      <c r="R234" s="447"/>
      <c r="S234" s="447"/>
      <c r="T234" s="447"/>
      <c r="U234" s="447"/>
      <c r="V234" s="447"/>
      <c r="W234" s="447"/>
      <c r="X234" s="447"/>
      <c r="Y234" s="447"/>
      <c r="Z234" s="447"/>
      <c r="AA234" s="447"/>
      <c r="AB234" s="447"/>
      <c r="AC234" s="447"/>
      <c r="AD234" s="447"/>
      <c r="AE234" s="447"/>
      <c r="AF234" s="447"/>
      <c r="AG234" s="447"/>
    </row>
    <row r="235" spans="1:33" s="132" customFormat="1">
      <c r="A235" s="555"/>
      <c r="G235" s="447"/>
      <c r="H235" s="447"/>
      <c r="I235" s="447"/>
      <c r="J235" s="447"/>
      <c r="K235" s="447"/>
      <c r="L235" s="447"/>
      <c r="M235" s="447"/>
      <c r="N235" s="447"/>
      <c r="O235" s="447"/>
      <c r="P235" s="447"/>
      <c r="Q235" s="447"/>
      <c r="R235" s="447"/>
      <c r="S235" s="447"/>
      <c r="T235" s="447"/>
      <c r="U235" s="447"/>
      <c r="V235" s="447"/>
      <c r="W235" s="447"/>
      <c r="X235" s="447"/>
      <c r="Y235" s="447"/>
      <c r="Z235" s="447"/>
      <c r="AA235" s="447"/>
      <c r="AB235" s="447"/>
      <c r="AC235" s="447"/>
      <c r="AD235" s="447"/>
      <c r="AE235" s="447"/>
      <c r="AF235" s="447"/>
      <c r="AG235" s="447"/>
    </row>
    <row r="236" spans="1:33" s="132" customFormat="1">
      <c r="A236" s="555"/>
      <c r="G236" s="447"/>
      <c r="H236" s="447"/>
      <c r="I236" s="447"/>
      <c r="J236" s="447"/>
      <c r="K236" s="447"/>
      <c r="L236" s="447"/>
      <c r="M236" s="447"/>
      <c r="N236" s="447"/>
      <c r="O236" s="447"/>
      <c r="P236" s="447"/>
      <c r="Q236" s="447"/>
      <c r="R236" s="447"/>
      <c r="S236" s="447"/>
      <c r="T236" s="447"/>
      <c r="U236" s="447"/>
      <c r="V236" s="447"/>
      <c r="W236" s="447"/>
      <c r="X236" s="447"/>
      <c r="Y236" s="447"/>
      <c r="Z236" s="447"/>
      <c r="AA236" s="447"/>
      <c r="AB236" s="447"/>
      <c r="AC236" s="447"/>
      <c r="AD236" s="447"/>
      <c r="AE236" s="447"/>
      <c r="AF236" s="447"/>
      <c r="AG236" s="447"/>
    </row>
    <row r="237" spans="1:33" s="132" customFormat="1">
      <c r="A237" s="555"/>
      <c r="G237" s="447"/>
      <c r="H237" s="447"/>
      <c r="I237" s="447"/>
      <c r="J237" s="447"/>
      <c r="K237" s="447"/>
      <c r="L237" s="447"/>
      <c r="M237" s="447"/>
      <c r="N237" s="447"/>
      <c r="O237" s="447"/>
      <c r="P237" s="447"/>
      <c r="Q237" s="447"/>
      <c r="R237" s="447"/>
      <c r="S237" s="447"/>
      <c r="T237" s="447"/>
      <c r="U237" s="447"/>
      <c r="V237" s="447"/>
      <c r="W237" s="447"/>
      <c r="X237" s="447"/>
      <c r="Y237" s="447"/>
      <c r="Z237" s="447"/>
      <c r="AA237" s="447"/>
      <c r="AB237" s="447"/>
      <c r="AC237" s="447"/>
      <c r="AD237" s="447"/>
      <c r="AE237" s="447"/>
      <c r="AF237" s="447"/>
      <c r="AG237" s="447"/>
    </row>
    <row r="238" spans="1:33" s="132" customFormat="1">
      <c r="A238" s="555"/>
      <c r="G238" s="447"/>
      <c r="H238" s="447"/>
      <c r="I238" s="447"/>
      <c r="J238" s="447"/>
      <c r="K238" s="447"/>
      <c r="L238" s="447"/>
      <c r="M238" s="447"/>
      <c r="N238" s="447"/>
      <c r="O238" s="447"/>
      <c r="P238" s="447"/>
      <c r="Q238" s="447"/>
      <c r="R238" s="447"/>
      <c r="S238" s="447"/>
      <c r="T238" s="447"/>
      <c r="U238" s="447"/>
      <c r="V238" s="447"/>
      <c r="W238" s="447"/>
      <c r="X238" s="447"/>
      <c r="Y238" s="447"/>
      <c r="Z238" s="447"/>
      <c r="AA238" s="447"/>
      <c r="AB238" s="447"/>
      <c r="AC238" s="447"/>
      <c r="AD238" s="447"/>
      <c r="AE238" s="447"/>
      <c r="AF238" s="447"/>
      <c r="AG238" s="447"/>
    </row>
    <row r="239" spans="1:33" s="132" customFormat="1">
      <c r="A239" s="555"/>
      <c r="G239" s="447"/>
      <c r="H239" s="447"/>
      <c r="I239" s="447"/>
      <c r="J239" s="447"/>
      <c r="K239" s="447"/>
      <c r="L239" s="447"/>
      <c r="M239" s="447"/>
      <c r="N239" s="447"/>
      <c r="O239" s="447"/>
      <c r="P239" s="447"/>
      <c r="Q239" s="447"/>
      <c r="R239" s="447"/>
      <c r="S239" s="447"/>
      <c r="T239" s="447"/>
      <c r="U239" s="447"/>
      <c r="V239" s="447"/>
      <c r="W239" s="447"/>
      <c r="X239" s="447"/>
      <c r="Y239" s="447"/>
      <c r="Z239" s="447"/>
      <c r="AA239" s="447"/>
      <c r="AB239" s="447"/>
      <c r="AC239" s="447"/>
      <c r="AD239" s="447"/>
      <c r="AE239" s="447"/>
      <c r="AF239" s="447"/>
      <c r="AG239" s="447"/>
    </row>
    <row r="240" spans="1:33" s="132" customFormat="1">
      <c r="A240" s="555"/>
      <c r="G240" s="447"/>
      <c r="H240" s="447"/>
      <c r="I240" s="447"/>
      <c r="J240" s="447"/>
      <c r="K240" s="447"/>
      <c r="L240" s="447"/>
      <c r="M240" s="447"/>
      <c r="N240" s="447"/>
      <c r="O240" s="447"/>
      <c r="P240" s="447"/>
      <c r="Q240" s="447"/>
      <c r="R240" s="447"/>
      <c r="S240" s="447"/>
      <c r="T240" s="447"/>
      <c r="U240" s="447"/>
      <c r="V240" s="447"/>
      <c r="W240" s="447"/>
      <c r="X240" s="447"/>
      <c r="Y240" s="447"/>
      <c r="Z240" s="447"/>
      <c r="AA240" s="447"/>
      <c r="AB240" s="447"/>
      <c r="AC240" s="447"/>
      <c r="AD240" s="447"/>
      <c r="AE240" s="447"/>
      <c r="AF240" s="447"/>
      <c r="AG240" s="447"/>
    </row>
    <row r="241" spans="1:33" s="132" customFormat="1">
      <c r="A241" s="555"/>
      <c r="G241" s="447"/>
      <c r="H241" s="447"/>
      <c r="I241" s="447"/>
      <c r="J241" s="447"/>
      <c r="K241" s="447"/>
      <c r="L241" s="447"/>
      <c r="M241" s="447"/>
      <c r="N241" s="447"/>
      <c r="O241" s="447"/>
      <c r="P241" s="447"/>
      <c r="Q241" s="447"/>
      <c r="R241" s="447"/>
      <c r="S241" s="447"/>
      <c r="T241" s="447"/>
      <c r="U241" s="447"/>
      <c r="V241" s="447"/>
      <c r="W241" s="447"/>
      <c r="X241" s="447"/>
      <c r="Y241" s="447"/>
      <c r="Z241" s="447"/>
      <c r="AA241" s="447"/>
      <c r="AB241" s="447"/>
      <c r="AC241" s="447"/>
      <c r="AD241" s="447"/>
      <c r="AE241" s="447"/>
      <c r="AF241" s="447"/>
      <c r="AG241" s="447"/>
    </row>
    <row r="242" spans="1:33" s="132" customFormat="1">
      <c r="A242" s="555"/>
      <c r="G242" s="447"/>
      <c r="H242" s="447"/>
      <c r="I242" s="447"/>
      <c r="J242" s="447"/>
      <c r="K242" s="447"/>
      <c r="L242" s="447"/>
      <c r="M242" s="447"/>
      <c r="N242" s="447"/>
      <c r="O242" s="447"/>
      <c r="P242" s="447"/>
      <c r="Q242" s="447"/>
      <c r="R242" s="447"/>
      <c r="S242" s="447"/>
      <c r="T242" s="447"/>
      <c r="U242" s="447"/>
      <c r="V242" s="447"/>
      <c r="W242" s="447"/>
      <c r="X242" s="447"/>
      <c r="Y242" s="447"/>
      <c r="Z242" s="447"/>
      <c r="AA242" s="447"/>
      <c r="AB242" s="447"/>
      <c r="AC242" s="447"/>
      <c r="AD242" s="447"/>
      <c r="AE242" s="447"/>
      <c r="AF242" s="447"/>
      <c r="AG242" s="447"/>
    </row>
    <row r="243" spans="1:33" s="132" customFormat="1">
      <c r="A243" s="555"/>
      <c r="G243" s="447"/>
      <c r="H243" s="447"/>
      <c r="I243" s="447"/>
      <c r="J243" s="447"/>
      <c r="K243" s="447"/>
      <c r="L243" s="447"/>
      <c r="M243" s="447"/>
      <c r="N243" s="447"/>
      <c r="O243" s="447"/>
      <c r="P243" s="447"/>
      <c r="Q243" s="447"/>
      <c r="R243" s="447"/>
      <c r="S243" s="447"/>
      <c r="T243" s="447"/>
      <c r="U243" s="447"/>
      <c r="V243" s="447"/>
      <c r="W243" s="447"/>
      <c r="X243" s="447"/>
      <c r="Y243" s="447"/>
      <c r="Z243" s="447"/>
      <c r="AA243" s="447"/>
      <c r="AB243" s="447"/>
      <c r="AC243" s="447"/>
      <c r="AD243" s="447"/>
      <c r="AE243" s="447"/>
      <c r="AF243" s="447"/>
      <c r="AG243" s="447"/>
    </row>
    <row r="244" spans="1:33" s="132" customFormat="1">
      <c r="A244" s="555"/>
      <c r="G244" s="447"/>
      <c r="H244" s="447"/>
      <c r="I244" s="447"/>
      <c r="J244" s="447"/>
      <c r="K244" s="447"/>
      <c r="L244" s="447"/>
      <c r="M244" s="447"/>
      <c r="N244" s="447"/>
      <c r="O244" s="447"/>
      <c r="P244" s="447"/>
      <c r="Q244" s="447"/>
      <c r="R244" s="447"/>
      <c r="S244" s="447"/>
      <c r="T244" s="447"/>
      <c r="U244" s="447"/>
      <c r="V244" s="447"/>
      <c r="W244" s="447"/>
      <c r="X244" s="447"/>
      <c r="Y244" s="447"/>
      <c r="Z244" s="447"/>
      <c r="AA244" s="447"/>
      <c r="AB244" s="447"/>
      <c r="AC244" s="447"/>
      <c r="AD244" s="447"/>
      <c r="AE244" s="447"/>
      <c r="AF244" s="447"/>
      <c r="AG244" s="447"/>
    </row>
    <row r="245" spans="1:33" s="132" customFormat="1">
      <c r="A245" s="555"/>
      <c r="G245" s="447"/>
      <c r="H245" s="447"/>
      <c r="I245" s="447"/>
      <c r="J245" s="447"/>
      <c r="K245" s="447"/>
      <c r="L245" s="447"/>
      <c r="M245" s="447"/>
      <c r="N245" s="447"/>
      <c r="O245" s="447"/>
      <c r="P245" s="447"/>
      <c r="Q245" s="447"/>
      <c r="R245" s="447"/>
      <c r="S245" s="447"/>
      <c r="T245" s="447"/>
      <c r="U245" s="447"/>
      <c r="V245" s="447"/>
      <c r="W245" s="447"/>
      <c r="X245" s="447"/>
      <c r="Y245" s="447"/>
      <c r="Z245" s="447"/>
      <c r="AA245" s="447"/>
      <c r="AB245" s="447"/>
      <c r="AC245" s="447"/>
      <c r="AD245" s="447"/>
      <c r="AE245" s="447"/>
      <c r="AF245" s="447"/>
      <c r="AG245" s="447"/>
    </row>
    <row r="246" spans="1:33" s="132" customFormat="1">
      <c r="A246" s="555"/>
      <c r="G246" s="447"/>
      <c r="H246" s="447"/>
      <c r="I246" s="447"/>
      <c r="J246" s="447"/>
      <c r="K246" s="447"/>
      <c r="L246" s="447"/>
      <c r="M246" s="447"/>
      <c r="N246" s="447"/>
      <c r="O246" s="447"/>
      <c r="P246" s="447"/>
      <c r="Q246" s="447"/>
      <c r="R246" s="447"/>
      <c r="S246" s="447"/>
      <c r="T246" s="447"/>
      <c r="U246" s="447"/>
      <c r="V246" s="447"/>
      <c r="W246" s="447"/>
      <c r="X246" s="447"/>
      <c r="Y246" s="447"/>
      <c r="Z246" s="447"/>
      <c r="AA246" s="447"/>
      <c r="AB246" s="447"/>
      <c r="AC246" s="447"/>
      <c r="AD246" s="447"/>
      <c r="AE246" s="447"/>
      <c r="AF246" s="447"/>
      <c r="AG246" s="447"/>
    </row>
    <row r="247" spans="1:33" s="132" customFormat="1">
      <c r="A247" s="555"/>
      <c r="G247" s="447"/>
      <c r="H247" s="447"/>
      <c r="I247" s="447"/>
      <c r="J247" s="447"/>
      <c r="K247" s="447"/>
      <c r="L247" s="447"/>
      <c r="M247" s="447"/>
      <c r="N247" s="447"/>
      <c r="O247" s="447"/>
      <c r="P247" s="447"/>
      <c r="Q247" s="447"/>
      <c r="R247" s="447"/>
      <c r="S247" s="447"/>
      <c r="T247" s="447"/>
      <c r="U247" s="447"/>
      <c r="V247" s="447"/>
      <c r="W247" s="447"/>
      <c r="X247" s="447"/>
      <c r="Y247" s="447"/>
      <c r="Z247" s="447"/>
      <c r="AA247" s="447"/>
      <c r="AB247" s="447"/>
      <c r="AC247" s="447"/>
      <c r="AD247" s="447"/>
      <c r="AE247" s="447"/>
      <c r="AF247" s="447"/>
      <c r="AG247" s="447"/>
    </row>
    <row r="248" spans="1:33" s="132" customFormat="1">
      <c r="A248" s="555"/>
      <c r="G248" s="447"/>
      <c r="H248" s="447"/>
      <c r="I248" s="447"/>
      <c r="J248" s="447"/>
      <c r="K248" s="447"/>
      <c r="L248" s="447"/>
      <c r="M248" s="447"/>
      <c r="N248" s="447"/>
      <c r="O248" s="447"/>
      <c r="P248" s="447"/>
      <c r="Q248" s="447"/>
      <c r="R248" s="447"/>
      <c r="S248" s="447"/>
      <c r="T248" s="447"/>
      <c r="U248" s="447"/>
      <c r="V248" s="447"/>
      <c r="W248" s="447"/>
      <c r="X248" s="447"/>
      <c r="Y248" s="447"/>
      <c r="Z248" s="447"/>
      <c r="AA248" s="447"/>
      <c r="AB248" s="447"/>
      <c r="AC248" s="447"/>
      <c r="AD248" s="447"/>
      <c r="AE248" s="447"/>
      <c r="AF248" s="447"/>
      <c r="AG248" s="447"/>
    </row>
    <row r="249" spans="1:33" s="132" customFormat="1">
      <c r="A249" s="555"/>
      <c r="G249" s="447"/>
      <c r="H249" s="447"/>
      <c r="I249" s="447"/>
      <c r="J249" s="447"/>
      <c r="K249" s="447"/>
      <c r="L249" s="447"/>
      <c r="M249" s="447"/>
      <c r="N249" s="447"/>
      <c r="O249" s="447"/>
      <c r="P249" s="447"/>
      <c r="Q249" s="447"/>
      <c r="R249" s="447"/>
      <c r="S249" s="447"/>
      <c r="T249" s="447"/>
      <c r="U249" s="447"/>
      <c r="V249" s="447"/>
      <c r="W249" s="447"/>
      <c r="X249" s="447"/>
      <c r="Y249" s="447"/>
      <c r="Z249" s="447"/>
      <c r="AA249" s="447"/>
      <c r="AB249" s="447"/>
      <c r="AC249" s="447"/>
      <c r="AD249" s="447"/>
      <c r="AE249" s="447"/>
      <c r="AF249" s="447"/>
      <c r="AG249" s="447"/>
    </row>
    <row r="250" spans="1:33" s="132" customFormat="1">
      <c r="A250" s="555"/>
      <c r="G250" s="447"/>
      <c r="H250" s="447"/>
      <c r="I250" s="447"/>
      <c r="J250" s="447"/>
      <c r="K250" s="447"/>
      <c r="L250" s="447"/>
      <c r="M250" s="447"/>
      <c r="N250" s="447"/>
      <c r="O250" s="447"/>
      <c r="P250" s="447"/>
      <c r="Q250" s="447"/>
      <c r="R250" s="447"/>
      <c r="S250" s="447"/>
      <c r="T250" s="447"/>
      <c r="U250" s="447"/>
      <c r="V250" s="447"/>
      <c r="W250" s="447"/>
      <c r="X250" s="447"/>
      <c r="Y250" s="447"/>
      <c r="Z250" s="447"/>
      <c r="AA250" s="447"/>
      <c r="AB250" s="447"/>
      <c r="AC250" s="447"/>
      <c r="AD250" s="447"/>
      <c r="AE250" s="447"/>
      <c r="AF250" s="447"/>
      <c r="AG250" s="447"/>
    </row>
    <row r="251" spans="1:33" s="132" customFormat="1">
      <c r="A251" s="555"/>
      <c r="G251" s="447"/>
      <c r="H251" s="447"/>
      <c r="I251" s="447"/>
      <c r="J251" s="447"/>
      <c r="K251" s="447"/>
      <c r="L251" s="447"/>
      <c r="M251" s="447"/>
      <c r="N251" s="447"/>
      <c r="O251" s="447"/>
      <c r="P251" s="447"/>
      <c r="Q251" s="447"/>
      <c r="R251" s="447"/>
      <c r="S251" s="447"/>
      <c r="T251" s="447"/>
      <c r="U251" s="447"/>
      <c r="V251" s="447"/>
      <c r="W251" s="447"/>
      <c r="X251" s="447"/>
      <c r="Y251" s="447"/>
      <c r="Z251" s="447"/>
      <c r="AA251" s="447"/>
      <c r="AB251" s="447"/>
      <c r="AC251" s="447"/>
      <c r="AD251" s="447"/>
      <c r="AE251" s="447"/>
      <c r="AF251" s="447"/>
      <c r="AG251" s="447"/>
    </row>
    <row r="252" spans="1:33" s="132" customFormat="1">
      <c r="A252" s="555"/>
      <c r="G252" s="447"/>
      <c r="H252" s="447"/>
      <c r="I252" s="447"/>
      <c r="J252" s="447"/>
      <c r="K252" s="447"/>
      <c r="L252" s="447"/>
      <c r="M252" s="447"/>
      <c r="N252" s="447"/>
      <c r="O252" s="447"/>
      <c r="P252" s="447"/>
      <c r="Q252" s="447"/>
      <c r="R252" s="447"/>
      <c r="S252" s="447"/>
      <c r="T252" s="447"/>
      <c r="U252" s="447"/>
      <c r="V252" s="447"/>
      <c r="W252" s="447"/>
      <c r="X252" s="447"/>
      <c r="Y252" s="447"/>
      <c r="Z252" s="447"/>
      <c r="AA252" s="447"/>
      <c r="AB252" s="447"/>
      <c r="AC252" s="447"/>
      <c r="AD252" s="447"/>
      <c r="AE252" s="447"/>
      <c r="AF252" s="447"/>
      <c r="AG252" s="447"/>
    </row>
    <row r="253" spans="1:33" s="132" customFormat="1">
      <c r="A253" s="555"/>
      <c r="G253" s="447"/>
      <c r="H253" s="447"/>
      <c r="I253" s="447"/>
      <c r="J253" s="447"/>
      <c r="K253" s="447"/>
      <c r="L253" s="447"/>
      <c r="M253" s="447"/>
      <c r="N253" s="447"/>
      <c r="O253" s="447"/>
      <c r="P253" s="447"/>
      <c r="Q253" s="447"/>
      <c r="R253" s="447"/>
      <c r="S253" s="447"/>
      <c r="T253" s="447"/>
      <c r="U253" s="447"/>
      <c r="V253" s="447"/>
      <c r="W253" s="447"/>
      <c r="X253" s="447"/>
      <c r="Y253" s="447"/>
      <c r="Z253" s="447"/>
      <c r="AA253" s="447"/>
      <c r="AB253" s="447"/>
      <c r="AC253" s="447"/>
      <c r="AD253" s="447"/>
      <c r="AE253" s="447"/>
      <c r="AF253" s="447"/>
      <c r="AG253" s="447"/>
    </row>
    <row r="254" spans="1:33" s="132" customFormat="1">
      <c r="A254" s="555"/>
      <c r="G254" s="447"/>
      <c r="H254" s="447"/>
      <c r="I254" s="447"/>
      <c r="J254" s="447"/>
      <c r="K254" s="447"/>
      <c r="L254" s="447"/>
      <c r="M254" s="447"/>
      <c r="N254" s="447"/>
      <c r="O254" s="447"/>
      <c r="P254" s="447"/>
      <c r="Q254" s="447"/>
      <c r="R254" s="447"/>
      <c r="S254" s="447"/>
      <c r="T254" s="447"/>
      <c r="U254" s="447"/>
      <c r="V254" s="447"/>
      <c r="W254" s="447"/>
      <c r="X254" s="447"/>
      <c r="Y254" s="447"/>
      <c r="Z254" s="447"/>
      <c r="AA254" s="447"/>
      <c r="AB254" s="447"/>
      <c r="AC254" s="447"/>
      <c r="AD254" s="447"/>
      <c r="AE254" s="447"/>
      <c r="AF254" s="447"/>
      <c r="AG254" s="447"/>
    </row>
    <row r="255" spans="1:33" s="132" customFormat="1">
      <c r="A255" s="555"/>
      <c r="G255" s="447"/>
      <c r="H255" s="447"/>
      <c r="I255" s="447"/>
      <c r="J255" s="447"/>
      <c r="K255" s="447"/>
      <c r="L255" s="447"/>
      <c r="M255" s="447"/>
      <c r="N255" s="447"/>
      <c r="O255" s="447"/>
      <c r="P255" s="447"/>
      <c r="Q255" s="447"/>
      <c r="R255" s="447"/>
      <c r="S255" s="447"/>
      <c r="T255" s="447"/>
      <c r="U255" s="447"/>
      <c r="V255" s="447"/>
      <c r="W255" s="447"/>
      <c r="X255" s="447"/>
      <c r="Y255" s="447"/>
      <c r="Z255" s="447"/>
      <c r="AA255" s="447"/>
      <c r="AB255" s="447"/>
      <c r="AC255" s="447"/>
      <c r="AD255" s="447"/>
      <c r="AE255" s="447"/>
      <c r="AF255" s="447"/>
      <c r="AG255" s="447"/>
    </row>
    <row r="256" spans="1:33" s="132" customFormat="1">
      <c r="A256" s="555"/>
      <c r="G256" s="447"/>
      <c r="H256" s="447"/>
      <c r="I256" s="447"/>
      <c r="J256" s="447"/>
      <c r="K256" s="447"/>
      <c r="L256" s="447"/>
      <c r="M256" s="447"/>
      <c r="N256" s="447"/>
      <c r="O256" s="447"/>
      <c r="P256" s="447"/>
      <c r="Q256" s="447"/>
      <c r="R256" s="447"/>
      <c r="S256" s="447"/>
      <c r="T256" s="447"/>
      <c r="U256" s="447"/>
      <c r="V256" s="447"/>
      <c r="W256" s="447"/>
      <c r="X256" s="447"/>
      <c r="Y256" s="447"/>
      <c r="Z256" s="447"/>
      <c r="AA256" s="447"/>
      <c r="AB256" s="447"/>
      <c r="AC256" s="447"/>
      <c r="AD256" s="447"/>
      <c r="AE256" s="447"/>
      <c r="AF256" s="447"/>
      <c r="AG256" s="447"/>
    </row>
    <row r="257" spans="1:33" s="132" customFormat="1">
      <c r="A257" s="555"/>
      <c r="G257" s="447"/>
      <c r="H257" s="447"/>
      <c r="I257" s="447"/>
      <c r="J257" s="447"/>
      <c r="K257" s="447"/>
      <c r="L257" s="447"/>
      <c r="M257" s="447"/>
      <c r="N257" s="447"/>
      <c r="O257" s="447"/>
      <c r="P257" s="447"/>
      <c r="Q257" s="447"/>
      <c r="R257" s="447"/>
      <c r="S257" s="447"/>
      <c r="T257" s="447"/>
      <c r="U257" s="447"/>
      <c r="V257" s="447"/>
      <c r="W257" s="447"/>
      <c r="X257" s="447"/>
      <c r="Y257" s="447"/>
      <c r="Z257" s="447"/>
      <c r="AA257" s="447"/>
      <c r="AB257" s="447"/>
      <c r="AC257" s="447"/>
      <c r="AD257" s="447"/>
      <c r="AE257" s="447"/>
      <c r="AF257" s="447"/>
      <c r="AG257" s="447"/>
    </row>
    <row r="258" spans="1:33" s="132" customFormat="1">
      <c r="A258" s="555"/>
      <c r="G258" s="447"/>
      <c r="H258" s="447"/>
      <c r="I258" s="447"/>
      <c r="J258" s="447"/>
      <c r="K258" s="447"/>
      <c r="L258" s="447"/>
      <c r="M258" s="447"/>
      <c r="N258" s="447"/>
      <c r="O258" s="447"/>
      <c r="P258" s="447"/>
      <c r="Q258" s="447"/>
      <c r="R258" s="447"/>
      <c r="S258" s="447"/>
      <c r="T258" s="447"/>
      <c r="U258" s="447"/>
      <c r="V258" s="447"/>
      <c r="W258" s="447"/>
      <c r="X258" s="447"/>
      <c r="Y258" s="447"/>
      <c r="Z258" s="447"/>
      <c r="AA258" s="447"/>
      <c r="AB258" s="447"/>
      <c r="AC258" s="447"/>
      <c r="AD258" s="447"/>
      <c r="AE258" s="447"/>
      <c r="AF258" s="447"/>
      <c r="AG258" s="447"/>
    </row>
    <row r="259" spans="1:33" s="132" customFormat="1">
      <c r="A259" s="555"/>
      <c r="G259" s="447"/>
      <c r="H259" s="447"/>
      <c r="I259" s="447"/>
      <c r="J259" s="447"/>
      <c r="K259" s="447"/>
      <c r="L259" s="447"/>
      <c r="M259" s="447"/>
      <c r="N259" s="447"/>
      <c r="O259" s="447"/>
      <c r="P259" s="447"/>
      <c r="Q259" s="447"/>
      <c r="R259" s="447"/>
      <c r="S259" s="447"/>
      <c r="T259" s="447"/>
      <c r="U259" s="447"/>
      <c r="V259" s="447"/>
      <c r="W259" s="447"/>
      <c r="X259" s="447"/>
      <c r="Y259" s="447"/>
      <c r="Z259" s="447"/>
      <c r="AA259" s="447"/>
      <c r="AB259" s="447"/>
      <c r="AC259" s="447"/>
      <c r="AD259" s="447"/>
      <c r="AE259" s="447"/>
      <c r="AF259" s="447"/>
      <c r="AG259" s="447"/>
    </row>
    <row r="260" spans="1:33" s="132" customFormat="1">
      <c r="A260" s="555"/>
      <c r="G260" s="447"/>
      <c r="H260" s="447"/>
      <c r="I260" s="447"/>
      <c r="J260" s="447"/>
      <c r="K260" s="447"/>
      <c r="L260" s="447"/>
      <c r="M260" s="447"/>
      <c r="N260" s="447"/>
      <c r="O260" s="447"/>
      <c r="P260" s="447"/>
      <c r="Q260" s="447"/>
      <c r="R260" s="447"/>
      <c r="S260" s="447"/>
      <c r="T260" s="447"/>
      <c r="U260" s="447"/>
      <c r="V260" s="447"/>
      <c r="W260" s="447"/>
      <c r="X260" s="447"/>
      <c r="Y260" s="447"/>
      <c r="Z260" s="447"/>
      <c r="AA260" s="447"/>
      <c r="AB260" s="447"/>
      <c r="AC260" s="447"/>
      <c r="AD260" s="447"/>
      <c r="AE260" s="447"/>
      <c r="AF260" s="447"/>
      <c r="AG260" s="447"/>
    </row>
    <row r="261" spans="1:33" s="132" customFormat="1">
      <c r="A261" s="555"/>
      <c r="G261" s="447"/>
      <c r="H261" s="447"/>
      <c r="I261" s="447"/>
      <c r="J261" s="447"/>
      <c r="K261" s="447"/>
      <c r="L261" s="447"/>
      <c r="M261" s="447"/>
      <c r="N261" s="447"/>
      <c r="O261" s="447"/>
      <c r="P261" s="447"/>
      <c r="Q261" s="447"/>
      <c r="R261" s="447"/>
      <c r="S261" s="447"/>
      <c r="T261" s="447"/>
      <c r="U261" s="447"/>
      <c r="V261" s="447"/>
      <c r="W261" s="447"/>
      <c r="X261" s="447"/>
      <c r="Y261" s="447"/>
      <c r="Z261" s="447"/>
      <c r="AA261" s="447"/>
      <c r="AB261" s="447"/>
      <c r="AC261" s="447"/>
      <c r="AD261" s="447"/>
      <c r="AE261" s="447"/>
      <c r="AF261" s="447"/>
      <c r="AG261" s="447"/>
    </row>
    <row r="262" spans="1:33" s="132" customFormat="1">
      <c r="A262" s="555"/>
      <c r="G262" s="447"/>
      <c r="H262" s="447"/>
      <c r="I262" s="447"/>
      <c r="J262" s="447"/>
      <c r="K262" s="447"/>
      <c r="L262" s="447"/>
      <c r="M262" s="447"/>
      <c r="N262" s="447"/>
      <c r="O262" s="447"/>
      <c r="P262" s="447"/>
      <c r="Q262" s="447"/>
      <c r="R262" s="447"/>
      <c r="S262" s="447"/>
      <c r="T262" s="447"/>
      <c r="U262" s="447"/>
      <c r="V262" s="447"/>
      <c r="W262" s="447"/>
      <c r="X262" s="447"/>
      <c r="Y262" s="447"/>
      <c r="Z262" s="447"/>
      <c r="AA262" s="447"/>
      <c r="AB262" s="447"/>
      <c r="AC262" s="447"/>
      <c r="AD262" s="447"/>
      <c r="AE262" s="447"/>
      <c r="AF262" s="447"/>
      <c r="AG262" s="447"/>
    </row>
    <row r="263" spans="1:33" s="132" customFormat="1">
      <c r="A263" s="555"/>
      <c r="G263" s="447"/>
      <c r="H263" s="447"/>
      <c r="I263" s="447"/>
      <c r="J263" s="447"/>
      <c r="K263" s="447"/>
      <c r="L263" s="447"/>
      <c r="M263" s="447"/>
      <c r="N263" s="447"/>
      <c r="O263" s="447"/>
      <c r="P263" s="447"/>
      <c r="Q263" s="447"/>
      <c r="R263" s="447"/>
      <c r="S263" s="447"/>
      <c r="T263" s="447"/>
      <c r="U263" s="447"/>
      <c r="V263" s="447"/>
      <c r="W263" s="447"/>
      <c r="X263" s="447"/>
      <c r="Y263" s="447"/>
      <c r="Z263" s="447"/>
      <c r="AA263" s="447"/>
      <c r="AB263" s="447"/>
      <c r="AC263" s="447"/>
      <c r="AD263" s="447"/>
      <c r="AE263" s="447"/>
      <c r="AF263" s="447"/>
      <c r="AG263" s="447"/>
    </row>
    <row r="264" spans="1:33" s="132" customFormat="1">
      <c r="A264" s="555"/>
      <c r="G264" s="447"/>
      <c r="H264" s="447"/>
      <c r="I264" s="447"/>
      <c r="J264" s="447"/>
      <c r="K264" s="447"/>
      <c r="L264" s="447"/>
      <c r="M264" s="447"/>
      <c r="N264" s="447"/>
      <c r="O264" s="447"/>
      <c r="P264" s="447"/>
      <c r="Q264" s="447"/>
      <c r="R264" s="447"/>
      <c r="S264" s="447"/>
      <c r="T264" s="447"/>
      <c r="U264" s="447"/>
      <c r="V264" s="447"/>
      <c r="W264" s="447"/>
      <c r="X264" s="447"/>
      <c r="Y264" s="447"/>
      <c r="Z264" s="447"/>
      <c r="AA264" s="447"/>
      <c r="AB264" s="447"/>
      <c r="AC264" s="447"/>
      <c r="AD264" s="447"/>
      <c r="AE264" s="447"/>
      <c r="AF264" s="447"/>
      <c r="AG264" s="447"/>
    </row>
    <row r="265" spans="1:33" s="132" customFormat="1">
      <c r="A265" s="555"/>
      <c r="G265" s="447"/>
      <c r="H265" s="447"/>
      <c r="I265" s="447"/>
      <c r="J265" s="447"/>
      <c r="K265" s="447"/>
      <c r="L265" s="447"/>
      <c r="M265" s="447"/>
      <c r="N265" s="447"/>
      <c r="O265" s="447"/>
      <c r="P265" s="447"/>
      <c r="Q265" s="447"/>
      <c r="R265" s="447"/>
      <c r="S265" s="447"/>
      <c r="T265" s="447"/>
      <c r="U265" s="447"/>
      <c r="V265" s="447"/>
      <c r="W265" s="447"/>
      <c r="X265" s="447"/>
      <c r="Y265" s="447"/>
      <c r="Z265" s="447"/>
      <c r="AA265" s="447"/>
      <c r="AB265" s="447"/>
      <c r="AC265" s="447"/>
      <c r="AD265" s="447"/>
      <c r="AE265" s="447"/>
      <c r="AF265" s="447"/>
      <c r="AG265" s="447"/>
    </row>
    <row r="266" spans="1:33" s="132" customFormat="1">
      <c r="A266" s="555"/>
      <c r="G266" s="447"/>
      <c r="H266" s="447"/>
      <c r="I266" s="447"/>
      <c r="J266" s="447"/>
      <c r="K266" s="447"/>
      <c r="L266" s="447"/>
      <c r="M266" s="447"/>
      <c r="N266" s="447"/>
      <c r="O266" s="447"/>
      <c r="P266" s="447"/>
      <c r="Q266" s="447"/>
      <c r="R266" s="447"/>
      <c r="S266" s="447"/>
      <c r="T266" s="447"/>
      <c r="U266" s="447"/>
      <c r="V266" s="447"/>
      <c r="W266" s="447"/>
      <c r="X266" s="447"/>
      <c r="Y266" s="447"/>
      <c r="Z266" s="447"/>
      <c r="AA266" s="447"/>
      <c r="AB266" s="447"/>
      <c r="AC266" s="447"/>
      <c r="AD266" s="447"/>
      <c r="AE266" s="447"/>
      <c r="AF266" s="447"/>
      <c r="AG266" s="447"/>
    </row>
    <row r="267" spans="1:33" s="132" customFormat="1">
      <c r="A267" s="555"/>
      <c r="G267" s="447"/>
      <c r="H267" s="447"/>
      <c r="I267" s="447"/>
      <c r="J267" s="447"/>
      <c r="K267" s="447"/>
      <c r="L267" s="447"/>
      <c r="M267" s="447"/>
      <c r="N267" s="447"/>
      <c r="O267" s="447"/>
      <c r="P267" s="447"/>
      <c r="Q267" s="447"/>
      <c r="R267" s="447"/>
      <c r="S267" s="447"/>
      <c r="T267" s="447"/>
      <c r="U267" s="447"/>
      <c r="V267" s="447"/>
      <c r="W267" s="447"/>
      <c r="X267" s="447"/>
      <c r="Y267" s="447"/>
      <c r="Z267" s="447"/>
      <c r="AA267" s="447"/>
      <c r="AB267" s="447"/>
      <c r="AC267" s="447"/>
      <c r="AD267" s="447"/>
      <c r="AE267" s="447"/>
      <c r="AF267" s="447"/>
      <c r="AG267" s="447"/>
    </row>
    <row r="268" spans="1:33" s="132" customFormat="1">
      <c r="A268" s="555"/>
      <c r="G268" s="447"/>
      <c r="H268" s="447"/>
      <c r="I268" s="447"/>
      <c r="J268" s="447"/>
      <c r="K268" s="447"/>
      <c r="L268" s="447"/>
      <c r="M268" s="447"/>
      <c r="N268" s="447"/>
      <c r="O268" s="447"/>
      <c r="P268" s="447"/>
      <c r="Q268" s="447"/>
      <c r="R268" s="447"/>
      <c r="S268" s="447"/>
      <c r="T268" s="447"/>
      <c r="U268" s="447"/>
      <c r="V268" s="447"/>
      <c r="W268" s="447"/>
      <c r="X268" s="447"/>
      <c r="Y268" s="447"/>
      <c r="Z268" s="447"/>
      <c r="AA268" s="447"/>
      <c r="AB268" s="447"/>
      <c r="AC268" s="447"/>
      <c r="AD268" s="447"/>
      <c r="AE268" s="447"/>
      <c r="AF268" s="447"/>
      <c r="AG268" s="447"/>
    </row>
    <row r="269" spans="1:33" s="132" customFormat="1">
      <c r="A269" s="555"/>
      <c r="G269" s="447"/>
      <c r="H269" s="447"/>
      <c r="I269" s="447"/>
      <c r="J269" s="447"/>
      <c r="K269" s="447"/>
      <c r="L269" s="447"/>
      <c r="M269" s="447"/>
      <c r="N269" s="447"/>
      <c r="O269" s="447"/>
      <c r="P269" s="447"/>
      <c r="Q269" s="447"/>
      <c r="R269" s="447"/>
      <c r="S269" s="447"/>
      <c r="T269" s="447"/>
      <c r="U269" s="447"/>
      <c r="V269" s="447"/>
      <c r="W269" s="447"/>
      <c r="X269" s="447"/>
      <c r="Y269" s="447"/>
      <c r="Z269" s="447"/>
      <c r="AA269" s="447"/>
      <c r="AB269" s="447"/>
      <c r="AC269" s="447"/>
      <c r="AD269" s="447"/>
      <c r="AE269" s="447"/>
      <c r="AF269" s="447"/>
      <c r="AG269" s="447"/>
    </row>
    <row r="270" spans="1:33" s="132" customFormat="1">
      <c r="A270" s="555"/>
      <c r="G270" s="447"/>
      <c r="H270" s="447"/>
      <c r="I270" s="447"/>
      <c r="J270" s="447"/>
      <c r="K270" s="447"/>
      <c r="L270" s="447"/>
      <c r="M270" s="447"/>
      <c r="N270" s="447"/>
      <c r="O270" s="447"/>
      <c r="P270" s="447"/>
      <c r="Q270" s="447"/>
      <c r="R270" s="447"/>
      <c r="S270" s="447"/>
      <c r="T270" s="447"/>
      <c r="U270" s="447"/>
      <c r="V270" s="447"/>
      <c r="W270" s="447"/>
      <c r="X270" s="447"/>
      <c r="Y270" s="447"/>
      <c r="Z270" s="447"/>
      <c r="AA270" s="447"/>
      <c r="AB270" s="447"/>
      <c r="AC270" s="447"/>
      <c r="AD270" s="447"/>
      <c r="AE270" s="447"/>
      <c r="AF270" s="447"/>
      <c r="AG270" s="447"/>
    </row>
    <row r="271" spans="1:33" s="132" customFormat="1">
      <c r="A271" s="555"/>
      <c r="G271" s="447"/>
      <c r="H271" s="447"/>
      <c r="I271" s="447"/>
      <c r="J271" s="447"/>
      <c r="K271" s="447"/>
      <c r="L271" s="447"/>
      <c r="M271" s="447"/>
      <c r="N271" s="447"/>
      <c r="O271" s="447"/>
      <c r="P271" s="447"/>
      <c r="Q271" s="447"/>
      <c r="R271" s="447"/>
      <c r="S271" s="447"/>
      <c r="T271" s="447"/>
      <c r="U271" s="447"/>
      <c r="V271" s="447"/>
      <c r="W271" s="447"/>
      <c r="X271" s="447"/>
      <c r="Y271" s="447"/>
      <c r="Z271" s="447"/>
      <c r="AA271" s="447"/>
      <c r="AB271" s="447"/>
      <c r="AC271" s="447"/>
      <c r="AD271" s="447"/>
      <c r="AE271" s="447"/>
      <c r="AF271" s="447"/>
      <c r="AG271" s="447"/>
    </row>
    <row r="272" spans="1:33" s="132" customFormat="1">
      <c r="A272" s="555"/>
      <c r="G272" s="447"/>
      <c r="H272" s="447"/>
      <c r="I272" s="447"/>
      <c r="J272" s="447"/>
      <c r="K272" s="447"/>
      <c r="L272" s="447"/>
      <c r="M272" s="447"/>
      <c r="N272" s="447"/>
      <c r="O272" s="447"/>
      <c r="P272" s="447"/>
      <c r="Q272" s="447"/>
      <c r="R272" s="447"/>
      <c r="S272" s="447"/>
      <c r="T272" s="447"/>
      <c r="U272" s="447"/>
      <c r="V272" s="447"/>
      <c r="W272" s="447"/>
      <c r="X272" s="447"/>
      <c r="Y272" s="447"/>
      <c r="Z272" s="447"/>
      <c r="AA272" s="447"/>
      <c r="AB272" s="447"/>
      <c r="AC272" s="447"/>
      <c r="AD272" s="447"/>
      <c r="AE272" s="447"/>
      <c r="AF272" s="447"/>
      <c r="AG272" s="447"/>
    </row>
    <row r="273" spans="1:33" s="132" customFormat="1">
      <c r="A273" s="555"/>
      <c r="G273" s="447"/>
      <c r="H273" s="447"/>
      <c r="I273" s="447"/>
      <c r="J273" s="447"/>
      <c r="K273" s="447"/>
      <c r="L273" s="447"/>
      <c r="M273" s="447"/>
      <c r="N273" s="447"/>
      <c r="O273" s="447"/>
      <c r="P273" s="447"/>
      <c r="Q273" s="447"/>
      <c r="R273" s="447"/>
      <c r="S273" s="447"/>
      <c r="T273" s="447"/>
      <c r="U273" s="447"/>
      <c r="V273" s="447"/>
      <c r="W273" s="447"/>
      <c r="X273" s="447"/>
      <c r="Y273" s="447"/>
      <c r="Z273" s="447"/>
      <c r="AA273" s="447"/>
      <c r="AB273" s="447"/>
      <c r="AC273" s="447"/>
      <c r="AD273" s="447"/>
      <c r="AE273" s="447"/>
      <c r="AF273" s="447"/>
      <c r="AG273" s="447"/>
    </row>
    <row r="274" spans="1:33" s="132" customFormat="1">
      <c r="A274" s="555"/>
      <c r="G274" s="447"/>
      <c r="H274" s="447"/>
      <c r="I274" s="447"/>
      <c r="J274" s="447"/>
      <c r="K274" s="447"/>
      <c r="L274" s="447"/>
      <c r="M274" s="447"/>
      <c r="N274" s="447"/>
      <c r="O274" s="447"/>
      <c r="P274" s="447"/>
      <c r="Q274" s="447"/>
      <c r="R274" s="447"/>
      <c r="S274" s="447"/>
      <c r="T274" s="447"/>
      <c r="U274" s="447"/>
      <c r="V274" s="447"/>
      <c r="W274" s="447"/>
      <c r="X274" s="447"/>
      <c r="Y274" s="447"/>
      <c r="Z274" s="447"/>
      <c r="AA274" s="447"/>
      <c r="AB274" s="447"/>
      <c r="AC274" s="447"/>
      <c r="AD274" s="447"/>
      <c r="AE274" s="447"/>
      <c r="AF274" s="447"/>
      <c r="AG274" s="447"/>
    </row>
    <row r="275" spans="1:33" s="132" customFormat="1">
      <c r="A275" s="555"/>
      <c r="G275" s="447"/>
      <c r="H275" s="447"/>
      <c r="I275" s="447"/>
      <c r="J275" s="447"/>
      <c r="K275" s="447"/>
      <c r="L275" s="447"/>
      <c r="M275" s="447"/>
      <c r="N275" s="447"/>
      <c r="O275" s="447"/>
      <c r="P275" s="447"/>
      <c r="Q275" s="447"/>
      <c r="R275" s="447"/>
      <c r="S275" s="447"/>
      <c r="T275" s="447"/>
      <c r="U275" s="447"/>
      <c r="V275" s="447"/>
      <c r="W275" s="447"/>
      <c r="X275" s="447"/>
      <c r="Y275" s="447"/>
      <c r="Z275" s="447"/>
      <c r="AA275" s="447"/>
      <c r="AB275" s="447"/>
      <c r="AC275" s="447"/>
      <c r="AD275" s="447"/>
      <c r="AE275" s="447"/>
      <c r="AF275" s="447"/>
      <c r="AG275" s="447"/>
    </row>
    <row r="276" spans="1:33" s="132" customFormat="1">
      <c r="A276" s="555"/>
      <c r="G276" s="447"/>
      <c r="H276" s="447"/>
      <c r="I276" s="447"/>
      <c r="J276" s="447"/>
      <c r="K276" s="447"/>
      <c r="L276" s="447"/>
      <c r="M276" s="447"/>
      <c r="N276" s="447"/>
      <c r="O276" s="447"/>
      <c r="P276" s="447"/>
      <c r="Q276" s="447"/>
      <c r="R276" s="447"/>
      <c r="S276" s="447"/>
      <c r="T276" s="447"/>
      <c r="U276" s="447"/>
      <c r="V276" s="447"/>
      <c r="W276" s="447"/>
      <c r="X276" s="447"/>
      <c r="Y276" s="447"/>
      <c r="Z276" s="447"/>
      <c r="AA276" s="447"/>
      <c r="AB276" s="447"/>
      <c r="AC276" s="447"/>
      <c r="AD276" s="447"/>
      <c r="AE276" s="447"/>
      <c r="AF276" s="447"/>
      <c r="AG276" s="447"/>
    </row>
    <row r="277" spans="1:33" s="132" customFormat="1">
      <c r="A277" s="555"/>
      <c r="G277" s="447"/>
      <c r="H277" s="447"/>
      <c r="I277" s="447"/>
      <c r="J277" s="447"/>
      <c r="K277" s="447"/>
      <c r="L277" s="447"/>
      <c r="M277" s="447"/>
      <c r="N277" s="447"/>
      <c r="O277" s="447"/>
      <c r="P277" s="447"/>
      <c r="Q277" s="447"/>
      <c r="R277" s="447"/>
      <c r="S277" s="447"/>
      <c r="T277" s="447"/>
      <c r="U277" s="447"/>
      <c r="V277" s="447"/>
      <c r="W277" s="447"/>
      <c r="X277" s="447"/>
      <c r="Y277" s="447"/>
      <c r="Z277" s="447"/>
      <c r="AA277" s="447"/>
      <c r="AB277" s="447"/>
      <c r="AC277" s="447"/>
      <c r="AD277" s="447"/>
      <c r="AE277" s="447"/>
      <c r="AF277" s="447"/>
      <c r="AG277" s="447"/>
    </row>
    <row r="278" spans="1:33" s="132" customFormat="1">
      <c r="A278" s="555"/>
      <c r="G278" s="447"/>
      <c r="H278" s="447"/>
      <c r="I278" s="447"/>
      <c r="J278" s="447"/>
      <c r="K278" s="447"/>
      <c r="L278" s="447"/>
      <c r="M278" s="447"/>
      <c r="N278" s="447"/>
      <c r="O278" s="447"/>
      <c r="P278" s="447"/>
      <c r="Q278" s="447"/>
      <c r="R278" s="447"/>
      <c r="S278" s="447"/>
      <c r="T278" s="447"/>
      <c r="U278" s="447"/>
      <c r="V278" s="447"/>
      <c r="W278" s="447"/>
      <c r="X278" s="447"/>
      <c r="Y278" s="447"/>
      <c r="Z278" s="447"/>
      <c r="AA278" s="447"/>
      <c r="AB278" s="447"/>
      <c r="AC278" s="447"/>
      <c r="AD278" s="447"/>
      <c r="AE278" s="447"/>
      <c r="AF278" s="447"/>
      <c r="AG278" s="447"/>
    </row>
    <row r="279" spans="1:33" s="132" customFormat="1">
      <c r="A279" s="555"/>
      <c r="G279" s="447"/>
      <c r="H279" s="447"/>
      <c r="I279" s="447"/>
      <c r="J279" s="447"/>
      <c r="K279" s="447"/>
      <c r="L279" s="447"/>
      <c r="M279" s="447"/>
      <c r="N279" s="447"/>
      <c r="O279" s="447"/>
      <c r="P279" s="447"/>
      <c r="Q279" s="447"/>
      <c r="R279" s="447"/>
      <c r="S279" s="447"/>
      <c r="T279" s="447"/>
      <c r="U279" s="447"/>
      <c r="V279" s="447"/>
      <c r="W279" s="447"/>
      <c r="X279" s="447"/>
      <c r="Y279" s="447"/>
      <c r="Z279" s="447"/>
      <c r="AA279" s="447"/>
      <c r="AB279" s="447"/>
      <c r="AC279" s="447"/>
      <c r="AD279" s="447"/>
      <c r="AE279" s="447"/>
      <c r="AF279" s="447"/>
      <c r="AG279" s="447"/>
    </row>
    <row r="280" spans="1:33" s="132" customFormat="1">
      <c r="A280" s="555"/>
      <c r="G280" s="447"/>
      <c r="H280" s="447"/>
      <c r="I280" s="447"/>
      <c r="J280" s="447"/>
      <c r="K280" s="447"/>
      <c r="L280" s="447"/>
      <c r="M280" s="447"/>
      <c r="N280" s="447"/>
      <c r="O280" s="447"/>
      <c r="P280" s="447"/>
      <c r="Q280" s="447"/>
      <c r="R280" s="447"/>
      <c r="S280" s="447"/>
      <c r="T280" s="447"/>
      <c r="U280" s="447"/>
      <c r="V280" s="447"/>
      <c r="W280" s="447"/>
      <c r="X280" s="447"/>
      <c r="Y280" s="447"/>
      <c r="Z280" s="447"/>
      <c r="AA280" s="447"/>
      <c r="AB280" s="447"/>
      <c r="AC280" s="447"/>
      <c r="AD280" s="447"/>
      <c r="AE280" s="447"/>
      <c r="AF280" s="447"/>
      <c r="AG280" s="447"/>
    </row>
    <row r="281" spans="1:33" s="132" customFormat="1">
      <c r="A281" s="555"/>
      <c r="G281" s="447"/>
      <c r="H281" s="447"/>
      <c r="I281" s="447"/>
      <c r="J281" s="447"/>
      <c r="K281" s="447"/>
      <c r="L281" s="447"/>
      <c r="M281" s="447"/>
      <c r="N281" s="447"/>
      <c r="O281" s="447"/>
      <c r="P281" s="447"/>
      <c r="Q281" s="447"/>
      <c r="R281" s="447"/>
      <c r="S281" s="447"/>
      <c r="T281" s="447"/>
      <c r="U281" s="447"/>
      <c r="V281" s="447"/>
      <c r="W281" s="447"/>
      <c r="X281" s="447"/>
      <c r="Y281" s="447"/>
      <c r="Z281" s="447"/>
      <c r="AA281" s="447"/>
      <c r="AB281" s="447"/>
      <c r="AC281" s="447"/>
      <c r="AD281" s="447"/>
      <c r="AE281" s="447"/>
      <c r="AF281" s="447"/>
      <c r="AG281" s="447"/>
    </row>
    <row r="282" spans="1:33" s="132" customFormat="1">
      <c r="A282" s="555"/>
      <c r="G282" s="447"/>
      <c r="H282" s="447"/>
      <c r="I282" s="447"/>
      <c r="J282" s="447"/>
      <c r="K282" s="447"/>
      <c r="L282" s="447"/>
      <c r="M282" s="447"/>
      <c r="N282" s="447"/>
      <c r="O282" s="447"/>
      <c r="P282" s="447"/>
      <c r="Q282" s="447"/>
      <c r="R282" s="447"/>
      <c r="S282" s="447"/>
      <c r="T282" s="447"/>
      <c r="U282" s="447"/>
      <c r="V282" s="447"/>
      <c r="W282" s="447"/>
      <c r="X282" s="447"/>
      <c r="Y282" s="447"/>
      <c r="Z282" s="447"/>
      <c r="AA282" s="447"/>
      <c r="AB282" s="447"/>
      <c r="AC282" s="447"/>
      <c r="AD282" s="447"/>
      <c r="AE282" s="447"/>
      <c r="AF282" s="447"/>
      <c r="AG282" s="447"/>
    </row>
    <row r="283" spans="1:33" s="132" customFormat="1">
      <c r="A283" s="555"/>
      <c r="G283" s="447"/>
      <c r="H283" s="447"/>
      <c r="I283" s="447"/>
      <c r="J283" s="447"/>
      <c r="K283" s="447"/>
      <c r="L283" s="447"/>
      <c r="M283" s="447"/>
      <c r="N283" s="447"/>
      <c r="O283" s="447"/>
      <c r="P283" s="447"/>
      <c r="Q283" s="447"/>
      <c r="R283" s="447"/>
      <c r="S283" s="447"/>
      <c r="T283" s="447"/>
      <c r="U283" s="447"/>
      <c r="V283" s="447"/>
      <c r="W283" s="447"/>
      <c r="X283" s="447"/>
      <c r="Y283" s="447"/>
      <c r="Z283" s="447"/>
      <c r="AA283" s="447"/>
      <c r="AB283" s="447"/>
      <c r="AC283" s="447"/>
      <c r="AD283" s="447"/>
      <c r="AE283" s="447"/>
      <c r="AF283" s="447"/>
      <c r="AG283" s="447"/>
    </row>
    <row r="284" spans="1:33" s="132" customFormat="1">
      <c r="A284" s="555"/>
      <c r="G284" s="447"/>
      <c r="H284" s="447"/>
      <c r="I284" s="447"/>
      <c r="J284" s="447"/>
      <c r="K284" s="447"/>
      <c r="L284" s="447"/>
      <c r="M284" s="447"/>
      <c r="N284" s="447"/>
      <c r="O284" s="447"/>
      <c r="P284" s="447"/>
      <c r="Q284" s="447"/>
      <c r="R284" s="447"/>
      <c r="S284" s="447"/>
      <c r="T284" s="447"/>
      <c r="U284" s="447"/>
      <c r="V284" s="447"/>
      <c r="W284" s="447"/>
      <c r="X284" s="447"/>
      <c r="Y284" s="447"/>
      <c r="Z284" s="447"/>
      <c r="AA284" s="447"/>
      <c r="AB284" s="447"/>
      <c r="AC284" s="447"/>
      <c r="AD284" s="447"/>
      <c r="AE284" s="447"/>
      <c r="AF284" s="447"/>
      <c r="AG284" s="447"/>
    </row>
    <row r="285" spans="1:33" s="132" customFormat="1">
      <c r="A285" s="555"/>
      <c r="G285" s="447"/>
      <c r="H285" s="447"/>
      <c r="I285" s="447"/>
      <c r="J285" s="447"/>
      <c r="K285" s="447"/>
      <c r="L285" s="447"/>
      <c r="M285" s="447"/>
      <c r="N285" s="447"/>
      <c r="O285" s="447"/>
      <c r="P285" s="447"/>
      <c r="Q285" s="447"/>
      <c r="R285" s="447"/>
      <c r="S285" s="447"/>
      <c r="T285" s="447"/>
      <c r="U285" s="447"/>
      <c r="V285" s="447"/>
      <c r="W285" s="447"/>
      <c r="X285" s="447"/>
      <c r="Y285" s="447"/>
      <c r="Z285" s="447"/>
      <c r="AA285" s="447"/>
      <c r="AB285" s="447"/>
      <c r="AC285" s="447"/>
      <c r="AD285" s="447"/>
      <c r="AE285" s="447"/>
      <c r="AF285" s="447"/>
      <c r="AG285" s="447"/>
    </row>
    <row r="286" spans="1:33" s="132" customFormat="1">
      <c r="A286" s="555"/>
      <c r="G286" s="447"/>
      <c r="H286" s="447"/>
      <c r="I286" s="447"/>
      <c r="J286" s="447"/>
      <c r="K286" s="447"/>
      <c r="L286" s="447"/>
      <c r="M286" s="447"/>
      <c r="N286" s="447"/>
      <c r="O286" s="447"/>
      <c r="P286" s="447"/>
      <c r="Q286" s="447"/>
      <c r="R286" s="447"/>
      <c r="S286" s="447"/>
      <c r="T286" s="447"/>
      <c r="U286" s="447"/>
      <c r="V286" s="447"/>
      <c r="W286" s="447"/>
      <c r="X286" s="447"/>
      <c r="Y286" s="447"/>
      <c r="Z286" s="447"/>
      <c r="AA286" s="447"/>
      <c r="AB286" s="447"/>
      <c r="AC286" s="447"/>
      <c r="AD286" s="447"/>
      <c r="AE286" s="447"/>
      <c r="AF286" s="447"/>
      <c r="AG286" s="447"/>
    </row>
    <row r="287" spans="1:33" s="132" customFormat="1">
      <c r="A287" s="555"/>
      <c r="G287" s="447"/>
      <c r="H287" s="447"/>
      <c r="I287" s="447"/>
      <c r="J287" s="447"/>
      <c r="K287" s="447"/>
      <c r="L287" s="447"/>
      <c r="M287" s="447"/>
      <c r="N287" s="447"/>
      <c r="O287" s="447"/>
      <c r="P287" s="447"/>
      <c r="Q287" s="447"/>
      <c r="R287" s="447"/>
      <c r="S287" s="447"/>
      <c r="T287" s="447"/>
      <c r="U287" s="447"/>
      <c r="V287" s="447"/>
      <c r="W287" s="447"/>
      <c r="X287" s="447"/>
      <c r="Y287" s="447"/>
      <c r="Z287" s="447"/>
      <c r="AA287" s="447"/>
      <c r="AB287" s="447"/>
      <c r="AC287" s="447"/>
      <c r="AD287" s="447"/>
      <c r="AE287" s="447"/>
      <c r="AF287" s="447"/>
      <c r="AG287" s="447"/>
    </row>
    <row r="288" spans="1:33" s="132" customFormat="1">
      <c r="A288" s="555"/>
      <c r="G288" s="447"/>
      <c r="H288" s="447"/>
      <c r="I288" s="447"/>
      <c r="J288" s="447"/>
      <c r="K288" s="447"/>
      <c r="L288" s="447"/>
      <c r="M288" s="447"/>
      <c r="N288" s="447"/>
      <c r="O288" s="447"/>
      <c r="P288" s="447"/>
      <c r="Q288" s="447"/>
      <c r="R288" s="447"/>
      <c r="S288" s="447"/>
      <c r="T288" s="447"/>
      <c r="U288" s="447"/>
      <c r="V288" s="447"/>
      <c r="W288" s="447"/>
      <c r="X288" s="447"/>
      <c r="Y288" s="447"/>
      <c r="Z288" s="447"/>
      <c r="AA288" s="447"/>
      <c r="AB288" s="447"/>
      <c r="AC288" s="447"/>
      <c r="AD288" s="447"/>
      <c r="AE288" s="447"/>
      <c r="AF288" s="447"/>
      <c r="AG288" s="447"/>
    </row>
    <row r="289" spans="1:33" s="132" customFormat="1">
      <c r="A289" s="555"/>
      <c r="G289" s="447"/>
      <c r="H289" s="447"/>
      <c r="I289" s="447"/>
      <c r="J289" s="447"/>
      <c r="K289" s="447"/>
      <c r="L289" s="447"/>
      <c r="M289" s="447"/>
      <c r="N289" s="447"/>
      <c r="O289" s="447"/>
      <c r="P289" s="447"/>
      <c r="Q289" s="447"/>
      <c r="R289" s="447"/>
      <c r="S289" s="447"/>
      <c r="T289" s="447"/>
      <c r="U289" s="447"/>
      <c r="V289" s="447"/>
      <c r="W289" s="447"/>
      <c r="X289" s="447"/>
      <c r="Y289" s="447"/>
      <c r="Z289" s="447"/>
      <c r="AA289" s="447"/>
      <c r="AB289" s="447"/>
      <c r="AC289" s="447"/>
      <c r="AD289" s="447"/>
      <c r="AE289" s="447"/>
      <c r="AF289" s="447"/>
      <c r="AG289" s="447"/>
    </row>
    <row r="290" spans="1:33" s="132" customFormat="1">
      <c r="A290" s="555"/>
      <c r="G290" s="447"/>
      <c r="H290" s="447"/>
      <c r="I290" s="447"/>
      <c r="J290" s="447"/>
      <c r="K290" s="447"/>
      <c r="L290" s="447"/>
      <c r="M290" s="447"/>
      <c r="N290" s="447"/>
      <c r="O290" s="447"/>
      <c r="P290" s="447"/>
      <c r="Q290" s="447"/>
      <c r="R290" s="447"/>
      <c r="S290" s="447"/>
      <c r="T290" s="447"/>
      <c r="U290" s="447"/>
      <c r="V290" s="447"/>
      <c r="W290" s="447"/>
      <c r="X290" s="447"/>
      <c r="Y290" s="447"/>
      <c r="Z290" s="447"/>
      <c r="AA290" s="447"/>
      <c r="AB290" s="447"/>
      <c r="AC290" s="447"/>
      <c r="AD290" s="447"/>
      <c r="AE290" s="447"/>
      <c r="AF290" s="447"/>
      <c r="AG290" s="447"/>
    </row>
    <row r="291" spans="1:33" s="132" customFormat="1">
      <c r="A291" s="555"/>
      <c r="G291" s="447"/>
      <c r="H291" s="447"/>
      <c r="I291" s="447"/>
      <c r="J291" s="447"/>
      <c r="K291" s="447"/>
      <c r="L291" s="447"/>
      <c r="M291" s="447"/>
      <c r="N291" s="447"/>
      <c r="O291" s="447"/>
      <c r="P291" s="447"/>
      <c r="Q291" s="447"/>
      <c r="R291" s="447"/>
      <c r="S291" s="447"/>
      <c r="T291" s="447"/>
      <c r="U291" s="447"/>
      <c r="V291" s="447"/>
      <c r="W291" s="447"/>
      <c r="X291" s="447"/>
      <c r="Y291" s="447"/>
      <c r="Z291" s="447"/>
      <c r="AA291" s="447"/>
      <c r="AB291" s="447"/>
      <c r="AC291" s="447"/>
      <c r="AD291" s="447"/>
      <c r="AE291" s="447"/>
      <c r="AF291" s="447"/>
      <c r="AG291" s="447"/>
    </row>
    <row r="292" spans="1:33" s="132" customFormat="1">
      <c r="A292" s="555"/>
      <c r="G292" s="447"/>
      <c r="H292" s="447"/>
      <c r="I292" s="447"/>
      <c r="J292" s="447"/>
      <c r="K292" s="447"/>
      <c r="L292" s="447"/>
      <c r="M292" s="447"/>
      <c r="N292" s="447"/>
      <c r="O292" s="447"/>
      <c r="P292" s="447"/>
      <c r="Q292" s="447"/>
      <c r="R292" s="447"/>
      <c r="S292" s="447"/>
      <c r="T292" s="447"/>
      <c r="U292" s="447"/>
      <c r="V292" s="447"/>
      <c r="W292" s="447"/>
      <c r="X292" s="447"/>
      <c r="Y292" s="447"/>
      <c r="Z292" s="447"/>
      <c r="AA292" s="447"/>
      <c r="AB292" s="447"/>
      <c r="AC292" s="447"/>
      <c r="AD292" s="447"/>
      <c r="AE292" s="447"/>
      <c r="AF292" s="447"/>
      <c r="AG292" s="447"/>
    </row>
    <row r="293" spans="1:33" s="132" customFormat="1">
      <c r="A293" s="555"/>
      <c r="G293" s="447"/>
      <c r="H293" s="447"/>
      <c r="I293" s="447"/>
      <c r="J293" s="447"/>
      <c r="K293" s="447"/>
      <c r="L293" s="447"/>
      <c r="M293" s="447"/>
      <c r="N293" s="447"/>
      <c r="O293" s="447"/>
      <c r="P293" s="447"/>
      <c r="Q293" s="447"/>
      <c r="R293" s="447"/>
      <c r="S293" s="447"/>
      <c r="T293" s="447"/>
      <c r="U293" s="447"/>
      <c r="V293" s="447"/>
      <c r="W293" s="447"/>
      <c r="X293" s="447"/>
      <c r="Y293" s="447"/>
      <c r="Z293" s="447"/>
      <c r="AA293" s="447"/>
      <c r="AB293" s="447"/>
      <c r="AC293" s="447"/>
      <c r="AD293" s="447"/>
      <c r="AE293" s="447"/>
      <c r="AF293" s="447"/>
      <c r="AG293" s="447"/>
    </row>
    <row r="294" spans="1:33" s="132" customFormat="1">
      <c r="A294" s="555"/>
      <c r="G294" s="447"/>
      <c r="H294" s="447"/>
      <c r="I294" s="447"/>
      <c r="J294" s="447"/>
      <c r="K294" s="447"/>
      <c r="L294" s="447"/>
      <c r="M294" s="447"/>
      <c r="N294" s="447"/>
      <c r="O294" s="447"/>
      <c r="P294" s="447"/>
      <c r="Q294" s="447"/>
      <c r="R294" s="447"/>
      <c r="S294" s="447"/>
      <c r="T294" s="447"/>
      <c r="U294" s="447"/>
      <c r="V294" s="447"/>
      <c r="W294" s="447"/>
      <c r="X294" s="447"/>
      <c r="Y294" s="447"/>
      <c r="Z294" s="447"/>
      <c r="AA294" s="447"/>
      <c r="AB294" s="447"/>
      <c r="AC294" s="447"/>
      <c r="AD294" s="447"/>
      <c r="AE294" s="447"/>
      <c r="AF294" s="447"/>
      <c r="AG294" s="447"/>
    </row>
    <row r="295" spans="1:33" s="132" customFormat="1">
      <c r="A295" s="555"/>
      <c r="G295" s="447"/>
      <c r="H295" s="447"/>
      <c r="I295" s="447"/>
      <c r="J295" s="447"/>
      <c r="K295" s="447"/>
      <c r="L295" s="447"/>
      <c r="M295" s="447"/>
      <c r="N295" s="447"/>
      <c r="O295" s="447"/>
      <c r="P295" s="447"/>
      <c r="Q295" s="447"/>
      <c r="R295" s="447"/>
      <c r="S295" s="447"/>
      <c r="T295" s="447"/>
      <c r="U295" s="447"/>
      <c r="V295" s="447"/>
      <c r="W295" s="447"/>
      <c r="X295" s="447"/>
      <c r="Y295" s="447"/>
      <c r="Z295" s="447"/>
      <c r="AA295" s="447"/>
      <c r="AB295" s="447"/>
      <c r="AC295" s="447"/>
      <c r="AD295" s="447"/>
      <c r="AE295" s="447"/>
      <c r="AF295" s="447"/>
      <c r="AG295" s="447"/>
    </row>
    <row r="296" spans="1:33" s="132" customFormat="1">
      <c r="A296" s="555"/>
      <c r="G296" s="447"/>
      <c r="H296" s="447"/>
      <c r="I296" s="447"/>
      <c r="J296" s="447"/>
      <c r="K296" s="447"/>
      <c r="L296" s="447"/>
      <c r="M296" s="447"/>
      <c r="N296" s="447"/>
      <c r="O296" s="447"/>
      <c r="P296" s="447"/>
      <c r="Q296" s="447"/>
      <c r="R296" s="447"/>
      <c r="S296" s="447"/>
      <c r="T296" s="447"/>
      <c r="U296" s="447"/>
      <c r="V296" s="447"/>
      <c r="W296" s="447"/>
      <c r="X296" s="447"/>
      <c r="Y296" s="447"/>
      <c r="Z296" s="447"/>
      <c r="AA296" s="447"/>
      <c r="AB296" s="447"/>
      <c r="AC296" s="447"/>
      <c r="AD296" s="447"/>
      <c r="AE296" s="447"/>
      <c r="AF296" s="447"/>
      <c r="AG296" s="447"/>
    </row>
    <row r="297" spans="1:33" s="132" customFormat="1">
      <c r="A297" s="555"/>
      <c r="G297" s="447"/>
      <c r="H297" s="447"/>
      <c r="I297" s="447"/>
      <c r="J297" s="447"/>
      <c r="K297" s="447"/>
      <c r="L297" s="447"/>
      <c r="M297" s="447"/>
      <c r="N297" s="447"/>
      <c r="O297" s="447"/>
      <c r="P297" s="447"/>
      <c r="Q297" s="447"/>
      <c r="R297" s="447"/>
      <c r="S297" s="447"/>
      <c r="T297" s="447"/>
      <c r="U297" s="447"/>
      <c r="V297" s="447"/>
      <c r="W297" s="447"/>
      <c r="X297" s="447"/>
      <c r="Y297" s="447"/>
      <c r="Z297" s="447"/>
      <c r="AA297" s="447"/>
      <c r="AB297" s="447"/>
      <c r="AC297" s="447"/>
      <c r="AD297" s="447"/>
      <c r="AE297" s="447"/>
      <c r="AF297" s="447"/>
      <c r="AG297" s="447"/>
    </row>
    <row r="298" spans="1:33" s="132" customFormat="1">
      <c r="A298" s="555"/>
      <c r="G298" s="447"/>
      <c r="H298" s="447"/>
      <c r="I298" s="447"/>
      <c r="J298" s="447"/>
      <c r="K298" s="447"/>
      <c r="L298" s="447"/>
      <c r="M298" s="447"/>
      <c r="N298" s="447"/>
      <c r="O298" s="447"/>
      <c r="P298" s="447"/>
      <c r="Q298" s="447"/>
      <c r="R298" s="447"/>
      <c r="S298" s="447"/>
      <c r="T298" s="447"/>
      <c r="U298" s="447"/>
      <c r="V298" s="447"/>
      <c r="W298" s="447"/>
      <c r="X298" s="447"/>
      <c r="Y298" s="447"/>
      <c r="Z298" s="447"/>
      <c r="AA298" s="447"/>
      <c r="AB298" s="447"/>
      <c r="AC298" s="447"/>
      <c r="AD298" s="447"/>
      <c r="AE298" s="447"/>
      <c r="AF298" s="447"/>
      <c r="AG298" s="447"/>
    </row>
  </sheetData>
  <sheetProtection algorithmName="SHA-512" hashValue="AatZ15dk4Rn86K8T6LXnEJBHtIkgjzbWHdgbaZ9u88vCGxxZZHLoC0J6ej0lrcFl9D5AyJr8C4ltLdGfgUUDsQ==" saltValue="xure2YrJsKciZqpQlvlkTQ==" spinCount="100000" sheet="1" objects="1" scenarios="1"/>
  <mergeCells count="1">
    <mergeCell ref="A11:D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1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Planilha49">
    <tabColor rgb="FF92D050"/>
  </sheetPr>
  <dimension ref="A1:DE540"/>
  <sheetViews>
    <sheetView view="pageBreakPreview" topLeftCell="A25" zoomScaleNormal="100" zoomScaleSheetLayoutView="100" workbookViewId="0">
      <selection activeCell="F36" sqref="F35:F36"/>
    </sheetView>
  </sheetViews>
  <sheetFormatPr defaultColWidth="9.1796875" defaultRowHeight="12.5"/>
  <cols>
    <col min="1" max="1" width="7.7265625" bestFit="1" customWidth="1"/>
    <col min="2" max="2" width="29" customWidth="1"/>
    <col min="3" max="4" width="10.453125" bestFit="1" customWidth="1"/>
    <col min="5" max="5" width="10.453125" style="543" bestFit="1" customWidth="1"/>
    <col min="6" max="8" width="10.453125" bestFit="1" customWidth="1"/>
    <col min="9" max="9" width="8.7265625" style="543" bestFit="1" customWidth="1"/>
    <col min="10" max="12" width="10.453125" bestFit="1" customWidth="1"/>
    <col min="13" max="13" width="8.7265625" bestFit="1" customWidth="1"/>
    <col min="14" max="14" width="10.453125" bestFit="1" customWidth="1"/>
    <col min="15" max="15" width="8.7265625" style="543" bestFit="1" customWidth="1"/>
    <col min="16" max="21" width="10.453125" bestFit="1" customWidth="1"/>
    <col min="22" max="22" width="10.453125" style="543" bestFit="1" customWidth="1"/>
    <col min="23" max="25" width="10.453125" bestFit="1" customWidth="1"/>
    <col min="26" max="26" width="11.54296875" bestFit="1" customWidth="1"/>
    <col min="27" max="31" width="10.453125" bestFit="1" customWidth="1"/>
    <col min="32" max="32" width="8.7265625" style="543" bestFit="1" customWidth="1"/>
    <col min="33" max="33" width="10.453125" bestFit="1" customWidth="1"/>
    <col min="34" max="34" width="8.7265625" bestFit="1" customWidth="1"/>
    <col min="35" max="41" width="10.453125" bestFit="1" customWidth="1"/>
    <col min="42" max="42" width="8.7265625" bestFit="1" customWidth="1"/>
    <col min="43" max="45" width="10.453125" bestFit="1" customWidth="1"/>
    <col min="46" max="46" width="46.54296875" hidden="1" customWidth="1"/>
    <col min="47" max="47" width="48.453125" hidden="1" customWidth="1"/>
    <col min="48" max="49" width="10.453125" hidden="1" customWidth="1"/>
    <col min="50" max="50" width="17.26953125" customWidth="1"/>
    <col min="51" max="51" width="17.7265625" customWidth="1"/>
    <col min="52" max="52" width="13.54296875" hidden="1" customWidth="1"/>
    <col min="53" max="53" width="9" hidden="1" customWidth="1"/>
    <col min="54" max="57" width="13.54296875" hidden="1" customWidth="1"/>
    <col min="58" max="59" width="14.26953125" style="132" hidden="1" customWidth="1"/>
    <col min="60" max="61" width="10.26953125" style="132" bestFit="1" customWidth="1"/>
    <col min="62" max="62" width="10" style="132" bestFit="1" customWidth="1"/>
    <col min="63" max="63" width="9.1796875" style="132"/>
    <col min="64" max="64" width="10.26953125" style="132" bestFit="1" customWidth="1"/>
    <col min="65" max="65" width="9.1796875" style="132"/>
    <col min="66" max="66" width="10.26953125" style="132" bestFit="1" customWidth="1"/>
    <col min="67" max="109" width="9.1796875" style="132"/>
  </cols>
  <sheetData>
    <row r="1" spans="1:109" ht="24" customHeight="1" thickBot="1">
      <c r="A1" s="824" t="s">
        <v>179</v>
      </c>
      <c r="B1" s="825"/>
      <c r="C1" s="819" t="s">
        <v>417</v>
      </c>
      <c r="D1" s="820"/>
      <c r="E1" s="820"/>
      <c r="F1" s="820"/>
      <c r="G1" s="820"/>
      <c r="H1" s="820"/>
      <c r="I1" s="820"/>
      <c r="J1" s="820"/>
      <c r="K1" s="820"/>
      <c r="L1" s="820"/>
      <c r="M1" s="820"/>
      <c r="N1" s="820"/>
      <c r="O1" s="820"/>
      <c r="P1" s="820"/>
      <c r="Q1" s="820"/>
      <c r="R1" s="820"/>
      <c r="S1" s="820"/>
      <c r="T1" s="820"/>
      <c r="U1" s="820"/>
      <c r="V1" s="820"/>
      <c r="W1" s="820"/>
      <c r="X1" s="820"/>
      <c r="Y1" s="819" t="s">
        <v>417</v>
      </c>
      <c r="Z1" s="820"/>
      <c r="AA1" s="820"/>
      <c r="AB1" s="820"/>
      <c r="AC1" s="820"/>
      <c r="AD1" s="820"/>
      <c r="AE1" s="820"/>
      <c r="AF1" s="820"/>
      <c r="AG1" s="820"/>
      <c r="AH1" s="820"/>
      <c r="AI1" s="820"/>
      <c r="AJ1" s="820"/>
      <c r="AK1" s="820"/>
      <c r="AL1" s="820"/>
      <c r="AM1" s="820"/>
      <c r="AN1" s="820"/>
      <c r="AO1" s="820"/>
      <c r="AP1" s="820"/>
      <c r="AQ1" s="820"/>
      <c r="AR1" s="820"/>
      <c r="AS1" s="821"/>
      <c r="AT1" s="830" t="s">
        <v>395</v>
      </c>
      <c r="AU1" s="830" t="s">
        <v>396</v>
      </c>
      <c r="AV1" s="407"/>
      <c r="AW1" s="408"/>
      <c r="AX1" s="807" t="s">
        <v>594</v>
      </c>
      <c r="AY1" s="810" t="s">
        <v>600</v>
      </c>
      <c r="AZ1" s="409"/>
      <c r="BA1" s="410"/>
      <c r="BB1" s="410"/>
      <c r="BC1" s="410"/>
      <c r="BD1" s="410"/>
      <c r="BE1" s="410"/>
      <c r="BF1" s="410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</row>
    <row r="2" spans="1:109" ht="21" customHeight="1">
      <c r="A2" s="826"/>
      <c r="B2" s="827"/>
      <c r="C2" s="411">
        <v>1</v>
      </c>
      <c r="D2" s="412">
        <v>2</v>
      </c>
      <c r="E2" s="412">
        <v>3</v>
      </c>
      <c r="F2" s="413">
        <v>4</v>
      </c>
      <c r="G2" s="413">
        <v>5</v>
      </c>
      <c r="H2" s="412">
        <v>6</v>
      </c>
      <c r="I2" s="412">
        <v>7</v>
      </c>
      <c r="J2" s="412">
        <v>8</v>
      </c>
      <c r="K2" s="412">
        <v>9</v>
      </c>
      <c r="L2" s="412">
        <v>10</v>
      </c>
      <c r="M2" s="412">
        <v>11</v>
      </c>
      <c r="N2" s="412">
        <v>12</v>
      </c>
      <c r="O2" s="412">
        <v>13</v>
      </c>
      <c r="P2" s="413">
        <v>14</v>
      </c>
      <c r="Q2" s="412">
        <v>15</v>
      </c>
      <c r="R2" s="413">
        <v>16</v>
      </c>
      <c r="S2" s="412">
        <v>17</v>
      </c>
      <c r="T2" s="412">
        <v>18</v>
      </c>
      <c r="U2" s="413">
        <v>19</v>
      </c>
      <c r="V2" s="412">
        <v>20</v>
      </c>
      <c r="W2" s="412">
        <v>21</v>
      </c>
      <c r="X2" s="412">
        <v>22</v>
      </c>
      <c r="Y2" s="412">
        <v>23</v>
      </c>
      <c r="Z2" s="412">
        <v>24</v>
      </c>
      <c r="AA2" s="413">
        <v>25</v>
      </c>
      <c r="AB2" s="412">
        <v>26</v>
      </c>
      <c r="AC2" s="412">
        <v>27</v>
      </c>
      <c r="AD2" s="412">
        <v>28</v>
      </c>
      <c r="AE2" s="412">
        <v>29</v>
      </c>
      <c r="AF2" s="412">
        <v>30</v>
      </c>
      <c r="AG2" s="412">
        <v>31</v>
      </c>
      <c r="AH2" s="412">
        <v>32</v>
      </c>
      <c r="AI2" s="412">
        <v>33</v>
      </c>
      <c r="AJ2" s="412">
        <v>34</v>
      </c>
      <c r="AK2" s="412">
        <v>35</v>
      </c>
      <c r="AL2" s="412">
        <v>36</v>
      </c>
      <c r="AM2" s="412">
        <v>37</v>
      </c>
      <c r="AN2" s="412">
        <v>38</v>
      </c>
      <c r="AO2" s="412">
        <v>39</v>
      </c>
      <c r="AP2" s="414">
        <v>40</v>
      </c>
      <c r="AQ2" s="412">
        <v>41</v>
      </c>
      <c r="AR2" s="412">
        <v>42</v>
      </c>
      <c r="AS2" s="415">
        <v>43</v>
      </c>
      <c r="AT2" s="831"/>
      <c r="AU2" s="831"/>
      <c r="AV2" s="407"/>
      <c r="AW2" s="408"/>
      <c r="AX2" s="808"/>
      <c r="AY2" s="811"/>
      <c r="AZ2" s="416" t="s">
        <v>576</v>
      </c>
      <c r="BA2" s="417"/>
      <c r="BB2" s="418" t="s">
        <v>571</v>
      </c>
      <c r="BC2" s="418"/>
      <c r="BD2" s="418"/>
      <c r="BE2" s="418"/>
      <c r="BF2" s="418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</row>
    <row r="3" spans="1:109" ht="106.5" customHeight="1" thickBot="1">
      <c r="A3" s="828"/>
      <c r="B3" s="829"/>
      <c r="C3" s="419" t="s">
        <v>249</v>
      </c>
      <c r="D3" s="420" t="s">
        <v>250</v>
      </c>
      <c r="E3" s="421" t="s">
        <v>497</v>
      </c>
      <c r="F3" s="420" t="s">
        <v>443</v>
      </c>
      <c r="G3" s="420" t="s">
        <v>442</v>
      </c>
      <c r="H3" s="420" t="s">
        <v>251</v>
      </c>
      <c r="I3" s="421" t="s">
        <v>554</v>
      </c>
      <c r="J3" s="420" t="s">
        <v>252</v>
      </c>
      <c r="K3" s="420" t="s">
        <v>264</v>
      </c>
      <c r="L3" s="420" t="s">
        <v>289</v>
      </c>
      <c r="M3" s="420" t="s">
        <v>449</v>
      </c>
      <c r="N3" s="420" t="s">
        <v>253</v>
      </c>
      <c r="O3" s="421" t="s">
        <v>451</v>
      </c>
      <c r="P3" s="420" t="s">
        <v>447</v>
      </c>
      <c r="Q3" s="420" t="s">
        <v>254</v>
      </c>
      <c r="R3" s="420" t="s">
        <v>445</v>
      </c>
      <c r="S3" s="420" t="s">
        <v>255</v>
      </c>
      <c r="T3" s="420" t="s">
        <v>266</v>
      </c>
      <c r="U3" s="420" t="s">
        <v>444</v>
      </c>
      <c r="V3" s="420" t="s">
        <v>454</v>
      </c>
      <c r="W3" s="420" t="s">
        <v>263</v>
      </c>
      <c r="X3" s="420" t="s">
        <v>256</v>
      </c>
      <c r="Y3" s="420" t="s">
        <v>260</v>
      </c>
      <c r="Z3" s="420" t="s">
        <v>257</v>
      </c>
      <c r="AA3" s="420" t="s">
        <v>446</v>
      </c>
      <c r="AB3" s="420" t="s">
        <v>448</v>
      </c>
      <c r="AC3" s="420" t="s">
        <v>290</v>
      </c>
      <c r="AD3" s="420" t="s">
        <v>272</v>
      </c>
      <c r="AE3" s="420" t="s">
        <v>265</v>
      </c>
      <c r="AF3" s="420" t="s">
        <v>455</v>
      </c>
      <c r="AG3" s="420" t="s">
        <v>262</v>
      </c>
      <c r="AH3" s="420" t="s">
        <v>258</v>
      </c>
      <c r="AI3" s="420" t="s">
        <v>259</v>
      </c>
      <c r="AJ3" s="420" t="s">
        <v>267</v>
      </c>
      <c r="AK3" s="420" t="s">
        <v>268</v>
      </c>
      <c r="AL3" s="420" t="s">
        <v>269</v>
      </c>
      <c r="AM3" s="420" t="s">
        <v>270</v>
      </c>
      <c r="AN3" s="420" t="s">
        <v>271</v>
      </c>
      <c r="AO3" s="420" t="s">
        <v>261</v>
      </c>
      <c r="AP3" s="420" t="s">
        <v>450</v>
      </c>
      <c r="AQ3" s="420" t="s">
        <v>446</v>
      </c>
      <c r="AR3" s="420" t="s">
        <v>288</v>
      </c>
      <c r="AS3" s="422" t="s">
        <v>537</v>
      </c>
      <c r="AT3" s="832"/>
      <c r="AU3" s="832"/>
      <c r="AV3" s="423" t="s">
        <v>570</v>
      </c>
      <c r="AW3" s="423" t="s">
        <v>570</v>
      </c>
      <c r="AX3" s="809"/>
      <c r="AY3" s="812"/>
      <c r="AZ3" s="424" t="s">
        <v>556</v>
      </c>
      <c r="BA3" s="425" t="s">
        <v>551</v>
      </c>
      <c r="BB3" s="426" t="s">
        <v>557</v>
      </c>
      <c r="BC3" s="427" t="s">
        <v>567</v>
      </c>
      <c r="BD3" s="426" t="s">
        <v>425</v>
      </c>
      <c r="BE3" s="427" t="s">
        <v>568</v>
      </c>
      <c r="BF3" s="427" t="s">
        <v>423</v>
      </c>
      <c r="BG3" s="428" t="s">
        <v>569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</row>
    <row r="4" spans="1:109" ht="14">
      <c r="A4" s="822" t="s">
        <v>273</v>
      </c>
      <c r="B4" s="429" t="s">
        <v>214</v>
      </c>
      <c r="C4" s="430">
        <v>120</v>
      </c>
      <c r="D4" s="413">
        <v>18</v>
      </c>
      <c r="E4" s="431">
        <v>2</v>
      </c>
      <c r="F4" s="432">
        <v>5</v>
      </c>
      <c r="G4" s="433">
        <v>40</v>
      </c>
      <c r="H4" s="413">
        <v>100</v>
      </c>
      <c r="I4" s="414">
        <v>1</v>
      </c>
      <c r="J4" s="430">
        <v>48</v>
      </c>
      <c r="K4" s="434">
        <v>6</v>
      </c>
      <c r="L4" s="434">
        <v>4</v>
      </c>
      <c r="M4" s="434">
        <v>8</v>
      </c>
      <c r="N4" s="434">
        <v>30</v>
      </c>
      <c r="O4" s="412">
        <v>2</v>
      </c>
      <c r="P4" s="433">
        <v>22</v>
      </c>
      <c r="Q4" s="434">
        <v>6</v>
      </c>
      <c r="R4" s="433">
        <v>50</v>
      </c>
      <c r="S4" s="413">
        <v>100</v>
      </c>
      <c r="T4" s="413">
        <v>16</v>
      </c>
      <c r="U4" s="433">
        <v>6</v>
      </c>
      <c r="V4" s="412">
        <v>2</v>
      </c>
      <c r="W4" s="434">
        <v>3</v>
      </c>
      <c r="X4" s="434">
        <v>6</v>
      </c>
      <c r="Y4" s="434">
        <v>48</v>
      </c>
      <c r="Z4" s="413">
        <v>8</v>
      </c>
      <c r="AA4" s="433">
        <v>5</v>
      </c>
      <c r="AB4" s="413">
        <v>12</v>
      </c>
      <c r="AC4" s="434">
        <v>6</v>
      </c>
      <c r="AD4" s="413">
        <v>25</v>
      </c>
      <c r="AE4" s="434">
        <v>36</v>
      </c>
      <c r="AF4" s="435">
        <v>2</v>
      </c>
      <c r="AG4" s="434">
        <v>3</v>
      </c>
      <c r="AH4" s="413">
        <v>8</v>
      </c>
      <c r="AI4" s="413">
        <v>8</v>
      </c>
      <c r="AJ4" s="434">
        <v>9</v>
      </c>
      <c r="AK4" s="434">
        <v>0</v>
      </c>
      <c r="AL4" s="434">
        <v>0</v>
      </c>
      <c r="AM4" s="413">
        <v>4</v>
      </c>
      <c r="AN4" s="413">
        <v>2</v>
      </c>
      <c r="AO4" s="434">
        <v>30</v>
      </c>
      <c r="AP4" s="436">
        <v>1</v>
      </c>
      <c r="AQ4" s="413">
        <v>40</v>
      </c>
      <c r="AR4" s="434">
        <v>1</v>
      </c>
      <c r="AS4" s="437">
        <v>4</v>
      </c>
      <c r="AT4" s="438">
        <f t="shared" ref="AT4:AT39" si="0">SUM(G4*$G$41+F4*$F$41+U4*$U$41+R4*$R$41+AA4*$AA$41+P4*$P$41+C4*$C$41+D4*$D$41+H4*$H$41+J4*$J$41+M4*$M$41+N4*$N$41+Q4*$Q$41+S4*$S$41+X4*$X$41+Z4*$Z$41+AH4*$AH$41+AI4*$AI$41+Y4*$Y$41+AO4*$AO$41+AS4*$AS$41+AR4*$AR$41+AG4*$AG$41+W4*$W$41+AC4*$AC$41+L4*$L$41+AB4*$AB$41+K4*$K$41+AE4*$AE$41+AQ4*$AQ$41+T4*$T$41+AJ4*$AJ$41+AK4*$AK$41+AL4*$AL$41+AM4*$AM$41+AN4*$AN$41+AD4*$AD$41+AP4*$AP$41+O4*$O$41+V4*$V$41+AF4*$AF$41+E4*$E$41+I4*$I$41)</f>
        <v>9751.840000000002</v>
      </c>
      <c r="AU4" s="438">
        <f>SUM(AT4/12)</f>
        <v>812.65333333333353</v>
      </c>
      <c r="AV4" s="439">
        <f t="shared" ref="AV4:AV39" si="1">TRUNC((AT4*AZ4),2)</f>
        <v>487.59</v>
      </c>
      <c r="AW4" s="440">
        <f t="shared" ref="AW4:AW39" si="2">TRUNC((AT4+AV4)*BA4,2)</f>
        <v>695.25</v>
      </c>
      <c r="AX4" s="441">
        <f t="shared" ref="AX4:AX39" si="3">TRUNC((AT4+AV4+AW4)/(1-BB4-BD4-BF4),2)</f>
        <v>11651.23</v>
      </c>
      <c r="AY4" s="442">
        <f>AX4/12</f>
        <v>970.93583333333333</v>
      </c>
      <c r="AZ4" s="443">
        <v>0.05</v>
      </c>
      <c r="BA4" s="444">
        <v>6.7900000000000002E-2</v>
      </c>
      <c r="BB4" s="445">
        <f>'Limpeza Regional Apucarana '!H135</f>
        <v>2.5000000000000001E-2</v>
      </c>
      <c r="BC4" s="446">
        <v>2.5000000000000001E-2</v>
      </c>
      <c r="BD4" s="445">
        <f>'Limpeza Regional Apucarana '!H128</f>
        <v>6.4999999999999997E-3</v>
      </c>
      <c r="BE4" s="446">
        <v>6.4999999999999997E-3</v>
      </c>
      <c r="BF4" s="445">
        <f>'Limpeza Regional Apucarana '!H129</f>
        <v>0.03</v>
      </c>
      <c r="BG4" s="446">
        <v>0.03</v>
      </c>
      <c r="BH4" s="447"/>
      <c r="BI4" s="448"/>
      <c r="BJ4" s="448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 ht="14">
      <c r="A5" s="823"/>
      <c r="B5" s="449" t="s">
        <v>311</v>
      </c>
      <c r="C5" s="450">
        <v>300</v>
      </c>
      <c r="D5" s="451">
        <v>130</v>
      </c>
      <c r="E5" s="452">
        <v>2</v>
      </c>
      <c r="F5" s="453">
        <v>90</v>
      </c>
      <c r="G5" s="454">
        <v>270</v>
      </c>
      <c r="H5" s="451">
        <v>100</v>
      </c>
      <c r="I5" s="455">
        <v>15</v>
      </c>
      <c r="J5" s="450">
        <v>80</v>
      </c>
      <c r="K5" s="451">
        <v>20</v>
      </c>
      <c r="L5" s="451">
        <v>12</v>
      </c>
      <c r="M5" s="451">
        <v>24</v>
      </c>
      <c r="N5" s="451">
        <v>90</v>
      </c>
      <c r="O5" s="456">
        <v>4</v>
      </c>
      <c r="P5" s="454">
        <v>10</v>
      </c>
      <c r="Q5" s="451">
        <v>24</v>
      </c>
      <c r="R5" s="454">
        <v>140</v>
      </c>
      <c r="S5" s="451">
        <v>200</v>
      </c>
      <c r="T5" s="451">
        <v>16</v>
      </c>
      <c r="U5" s="454">
        <v>30</v>
      </c>
      <c r="V5" s="455">
        <v>6</v>
      </c>
      <c r="W5" s="451">
        <v>6</v>
      </c>
      <c r="X5" s="457">
        <v>12</v>
      </c>
      <c r="Y5" s="451">
        <v>200</v>
      </c>
      <c r="Z5" s="451">
        <v>55</v>
      </c>
      <c r="AA5" s="454">
        <v>15</v>
      </c>
      <c r="AB5" s="451">
        <v>60</v>
      </c>
      <c r="AC5" s="451">
        <v>16</v>
      </c>
      <c r="AD5" s="451">
        <v>95</v>
      </c>
      <c r="AE5" s="451">
        <v>140</v>
      </c>
      <c r="AF5" s="458">
        <v>6</v>
      </c>
      <c r="AG5" s="451">
        <v>10</v>
      </c>
      <c r="AH5" s="451">
        <v>8</v>
      </c>
      <c r="AI5" s="451">
        <v>70</v>
      </c>
      <c r="AJ5" s="451">
        <v>14</v>
      </c>
      <c r="AK5" s="451">
        <v>4</v>
      </c>
      <c r="AL5" s="451">
        <v>70</v>
      </c>
      <c r="AM5" s="451">
        <v>0</v>
      </c>
      <c r="AN5" s="451">
        <v>35</v>
      </c>
      <c r="AO5" s="451">
        <v>36</v>
      </c>
      <c r="AP5" s="459">
        <v>4</v>
      </c>
      <c r="AQ5" s="451">
        <v>60</v>
      </c>
      <c r="AR5" s="451">
        <v>12</v>
      </c>
      <c r="AS5" s="460">
        <v>12</v>
      </c>
      <c r="AT5" s="461">
        <f t="shared" si="0"/>
        <v>39391.819999999992</v>
      </c>
      <c r="AU5" s="461">
        <f t="shared" ref="AU5:AU39" si="4">SUM(AT5/12)</f>
        <v>3282.6516666666662</v>
      </c>
      <c r="AV5" s="439">
        <f t="shared" si="1"/>
        <v>1969.59</v>
      </c>
      <c r="AW5" s="440">
        <f t="shared" si="2"/>
        <v>2808.43</v>
      </c>
      <c r="AX5" s="441">
        <f t="shared" si="3"/>
        <v>48352.31</v>
      </c>
      <c r="AY5" s="462">
        <f t="shared" ref="AY5:AY39" si="5">AX5/12</f>
        <v>4029.3591666666666</v>
      </c>
      <c r="AZ5" s="443">
        <v>0.05</v>
      </c>
      <c r="BA5" s="444">
        <v>6.7900000000000002E-2</v>
      </c>
      <c r="BB5" s="445">
        <f>'Limpeza Sede Administrativa '!H135</f>
        <v>0.05</v>
      </c>
      <c r="BC5" s="446">
        <v>0.05</v>
      </c>
      <c r="BD5" s="445">
        <f>'Limpeza Sede Administrativa '!H128</f>
        <v>6.4999999999999997E-3</v>
      </c>
      <c r="BE5" s="446">
        <v>6.4999999999999997E-3</v>
      </c>
      <c r="BF5" s="445">
        <f>'Limpeza Sede Administrativa '!H129</f>
        <v>0.03</v>
      </c>
      <c r="BG5" s="446">
        <v>0.03</v>
      </c>
      <c r="BH5" s="447"/>
      <c r="BI5" s="463"/>
      <c r="BJ5" s="463"/>
      <c r="BK5"/>
      <c r="BL5" s="463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 ht="14">
      <c r="A6" s="823"/>
      <c r="B6" s="449" t="s">
        <v>393</v>
      </c>
      <c r="C6" s="450">
        <v>150</v>
      </c>
      <c r="D6" s="451">
        <v>95</v>
      </c>
      <c r="E6" s="452">
        <v>2</v>
      </c>
      <c r="F6" s="453">
        <v>60</v>
      </c>
      <c r="G6" s="454">
        <v>280</v>
      </c>
      <c r="H6" s="451">
        <v>60</v>
      </c>
      <c r="I6" s="455">
        <v>1</v>
      </c>
      <c r="J6" s="450">
        <v>50</v>
      </c>
      <c r="K6" s="451">
        <v>6</v>
      </c>
      <c r="L6" s="451">
        <v>12</v>
      </c>
      <c r="M6" s="451">
        <v>8</v>
      </c>
      <c r="N6" s="451">
        <v>60</v>
      </c>
      <c r="O6" s="456">
        <v>4</v>
      </c>
      <c r="P6" s="454">
        <v>24</v>
      </c>
      <c r="Q6" s="451">
        <v>16</v>
      </c>
      <c r="R6" s="454">
        <v>50</v>
      </c>
      <c r="S6" s="451">
        <v>100</v>
      </c>
      <c r="T6" s="451">
        <v>10</v>
      </c>
      <c r="U6" s="454">
        <v>28</v>
      </c>
      <c r="V6" s="455">
        <v>5</v>
      </c>
      <c r="W6" s="451">
        <v>3</v>
      </c>
      <c r="X6" s="457">
        <v>6</v>
      </c>
      <c r="Y6" s="451">
        <v>60</v>
      </c>
      <c r="Z6" s="451">
        <v>36</v>
      </c>
      <c r="AA6" s="454">
        <v>15</v>
      </c>
      <c r="AB6" s="451">
        <v>24</v>
      </c>
      <c r="AC6" s="451">
        <v>8</v>
      </c>
      <c r="AD6" s="464">
        <v>25</v>
      </c>
      <c r="AE6" s="451">
        <v>60</v>
      </c>
      <c r="AF6" s="458">
        <v>5</v>
      </c>
      <c r="AG6" s="451">
        <v>6</v>
      </c>
      <c r="AH6" s="451">
        <v>4</v>
      </c>
      <c r="AI6" s="451">
        <v>36</v>
      </c>
      <c r="AJ6" s="451">
        <v>9</v>
      </c>
      <c r="AK6" s="451">
        <v>5</v>
      </c>
      <c r="AL6" s="451">
        <v>40</v>
      </c>
      <c r="AM6" s="451">
        <v>10</v>
      </c>
      <c r="AN6" s="451">
        <v>10</v>
      </c>
      <c r="AO6" s="451">
        <v>12</v>
      </c>
      <c r="AP6" s="455">
        <v>4</v>
      </c>
      <c r="AQ6" s="451">
        <v>30</v>
      </c>
      <c r="AR6" s="451">
        <v>1</v>
      </c>
      <c r="AS6" s="460">
        <v>8</v>
      </c>
      <c r="AT6" s="461">
        <f t="shared" si="0"/>
        <v>24132.899999999994</v>
      </c>
      <c r="AU6" s="461">
        <f t="shared" si="4"/>
        <v>2011.0749999999996</v>
      </c>
      <c r="AV6" s="439">
        <f t="shared" si="1"/>
        <v>1206.6400000000001</v>
      </c>
      <c r="AW6" s="440">
        <f t="shared" si="2"/>
        <v>1720.55</v>
      </c>
      <c r="AX6" s="441">
        <f t="shared" si="3"/>
        <v>29622.43</v>
      </c>
      <c r="AY6" s="462">
        <f t="shared" si="5"/>
        <v>2468.5358333333334</v>
      </c>
      <c r="AZ6" s="443">
        <v>0.05</v>
      </c>
      <c r="BA6" s="444">
        <v>6.7900000000000002E-2</v>
      </c>
      <c r="BB6" s="445">
        <f>'Limpeza Regional Curitiba'!H135</f>
        <v>0.05</v>
      </c>
      <c r="BC6" s="446">
        <v>0.05</v>
      </c>
      <c r="BD6" s="445">
        <f>'Limpeza Regional Curitiba'!H128</f>
        <v>6.4999999999999997E-3</v>
      </c>
      <c r="BE6" s="446">
        <v>6.4999999999999997E-3</v>
      </c>
      <c r="BF6" s="445">
        <f>'Limpeza Regional Curitiba'!H129</f>
        <v>0.03</v>
      </c>
      <c r="BG6" s="446">
        <v>0.03</v>
      </c>
      <c r="BH6" s="447"/>
      <c r="BI6"/>
      <c r="BJ6"/>
      <c r="BK6"/>
      <c r="BL6"/>
      <c r="BM6"/>
      <c r="BN6" s="463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 ht="14">
      <c r="A7" s="823"/>
      <c r="B7" s="449" t="s">
        <v>274</v>
      </c>
      <c r="C7" s="450">
        <v>70</v>
      </c>
      <c r="D7" s="451">
        <v>80</v>
      </c>
      <c r="E7" s="452">
        <v>2</v>
      </c>
      <c r="F7" s="453">
        <v>5</v>
      </c>
      <c r="G7" s="454">
        <v>45</v>
      </c>
      <c r="H7" s="451">
        <v>18</v>
      </c>
      <c r="I7" s="455">
        <v>1</v>
      </c>
      <c r="J7" s="450">
        <v>80</v>
      </c>
      <c r="K7" s="451">
        <v>6</v>
      </c>
      <c r="L7" s="451">
        <v>2</v>
      </c>
      <c r="M7" s="451">
        <v>6</v>
      </c>
      <c r="N7" s="451">
        <v>50</v>
      </c>
      <c r="O7" s="456">
        <v>1</v>
      </c>
      <c r="P7" s="454">
        <v>18</v>
      </c>
      <c r="Q7" s="451">
        <v>36</v>
      </c>
      <c r="R7" s="454">
        <v>5</v>
      </c>
      <c r="S7" s="451">
        <v>22</v>
      </c>
      <c r="T7" s="451">
        <v>16</v>
      </c>
      <c r="U7" s="454">
        <v>13</v>
      </c>
      <c r="V7" s="455">
        <v>2</v>
      </c>
      <c r="W7" s="451">
        <v>3</v>
      </c>
      <c r="X7" s="457">
        <v>12</v>
      </c>
      <c r="Y7" s="451">
        <v>80</v>
      </c>
      <c r="Z7" s="451">
        <v>10</v>
      </c>
      <c r="AA7" s="454">
        <v>2</v>
      </c>
      <c r="AB7" s="451">
        <v>12</v>
      </c>
      <c r="AC7" s="451">
        <v>8</v>
      </c>
      <c r="AD7" s="464">
        <v>12</v>
      </c>
      <c r="AE7" s="451">
        <v>18</v>
      </c>
      <c r="AF7" s="458">
        <v>2</v>
      </c>
      <c r="AG7" s="451">
        <v>2</v>
      </c>
      <c r="AH7" s="451">
        <v>2</v>
      </c>
      <c r="AI7" s="451">
        <v>8</v>
      </c>
      <c r="AJ7" s="451">
        <v>4</v>
      </c>
      <c r="AK7" s="451">
        <v>0</v>
      </c>
      <c r="AL7" s="451">
        <v>2</v>
      </c>
      <c r="AM7" s="451">
        <v>3</v>
      </c>
      <c r="AN7" s="451">
        <v>0</v>
      </c>
      <c r="AO7" s="451">
        <v>6</v>
      </c>
      <c r="AP7" s="455">
        <v>1</v>
      </c>
      <c r="AQ7" s="451">
        <v>60</v>
      </c>
      <c r="AR7" s="451">
        <v>0</v>
      </c>
      <c r="AS7" s="460">
        <v>4</v>
      </c>
      <c r="AT7" s="461">
        <f t="shared" si="0"/>
        <v>8619.380000000001</v>
      </c>
      <c r="AU7" s="461">
        <f t="shared" si="4"/>
        <v>718.28166666666675</v>
      </c>
      <c r="AV7" s="439">
        <f t="shared" si="1"/>
        <v>430.96</v>
      </c>
      <c r="AW7" s="440">
        <f t="shared" si="2"/>
        <v>614.51</v>
      </c>
      <c r="AX7" s="441">
        <f t="shared" si="3"/>
        <v>10353.34</v>
      </c>
      <c r="AY7" s="462">
        <f t="shared" si="5"/>
        <v>862.77833333333331</v>
      </c>
      <c r="AZ7" s="443">
        <v>0.05</v>
      </c>
      <c r="BA7" s="444">
        <v>6.7900000000000002E-2</v>
      </c>
      <c r="BB7" s="445">
        <f>'Limpeza Regional Cascavel'!H135</f>
        <v>0.03</v>
      </c>
      <c r="BC7" s="446">
        <v>0.03</v>
      </c>
      <c r="BD7" s="445">
        <f>'Limpeza Regional Cascavel'!H128</f>
        <v>6.4999999999999997E-3</v>
      </c>
      <c r="BE7" s="446">
        <v>6.4999999999999997E-3</v>
      </c>
      <c r="BF7" s="445">
        <f>'Limpeza Regional Cascavel'!H129</f>
        <v>0.03</v>
      </c>
      <c r="BG7" s="446">
        <v>0.03</v>
      </c>
      <c r="BH7" s="44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 ht="14">
      <c r="A8" s="823"/>
      <c r="B8" s="465" t="s">
        <v>217</v>
      </c>
      <c r="C8" s="450">
        <v>20</v>
      </c>
      <c r="D8" s="451">
        <v>18</v>
      </c>
      <c r="E8" s="452">
        <v>2</v>
      </c>
      <c r="F8" s="453">
        <v>2</v>
      </c>
      <c r="G8" s="454">
        <v>5</v>
      </c>
      <c r="H8" s="451">
        <v>8</v>
      </c>
      <c r="I8" s="455">
        <v>1</v>
      </c>
      <c r="J8" s="450">
        <v>20</v>
      </c>
      <c r="K8" s="451">
        <v>6</v>
      </c>
      <c r="L8" s="451">
        <v>2</v>
      </c>
      <c r="M8" s="451">
        <v>2</v>
      </c>
      <c r="N8" s="451">
        <v>6</v>
      </c>
      <c r="O8" s="456">
        <v>1</v>
      </c>
      <c r="P8" s="454">
        <v>20</v>
      </c>
      <c r="Q8" s="451">
        <v>18</v>
      </c>
      <c r="R8" s="454">
        <v>4</v>
      </c>
      <c r="S8" s="451">
        <v>4</v>
      </c>
      <c r="T8" s="451">
        <v>6</v>
      </c>
      <c r="U8" s="454">
        <v>5</v>
      </c>
      <c r="V8" s="455">
        <v>2</v>
      </c>
      <c r="W8" s="451">
        <v>3</v>
      </c>
      <c r="X8" s="451">
        <v>4</v>
      </c>
      <c r="Y8" s="451">
        <v>24</v>
      </c>
      <c r="Z8" s="451">
        <v>8</v>
      </c>
      <c r="AA8" s="454">
        <v>2</v>
      </c>
      <c r="AB8" s="451">
        <v>6</v>
      </c>
      <c r="AC8" s="451">
        <v>8</v>
      </c>
      <c r="AD8" s="464">
        <v>4</v>
      </c>
      <c r="AE8" s="451">
        <v>6</v>
      </c>
      <c r="AF8" s="458">
        <v>2</v>
      </c>
      <c r="AG8" s="451">
        <v>2</v>
      </c>
      <c r="AH8" s="451">
        <v>2</v>
      </c>
      <c r="AI8" s="451">
        <v>2</v>
      </c>
      <c r="AJ8" s="451">
        <v>0</v>
      </c>
      <c r="AK8" s="451">
        <v>1</v>
      </c>
      <c r="AL8" s="451">
        <v>1</v>
      </c>
      <c r="AM8" s="451">
        <v>1</v>
      </c>
      <c r="AN8" s="451">
        <v>1</v>
      </c>
      <c r="AO8" s="451">
        <v>6</v>
      </c>
      <c r="AP8" s="455">
        <v>1</v>
      </c>
      <c r="AQ8" s="451">
        <v>20</v>
      </c>
      <c r="AR8" s="451">
        <v>0</v>
      </c>
      <c r="AS8" s="460">
        <v>3</v>
      </c>
      <c r="AT8" s="461">
        <f t="shared" si="0"/>
        <v>4616.8799999999992</v>
      </c>
      <c r="AU8" s="461">
        <f t="shared" si="4"/>
        <v>384.73999999999995</v>
      </c>
      <c r="AV8" s="439">
        <f t="shared" si="1"/>
        <v>230.84</v>
      </c>
      <c r="AW8" s="440">
        <f t="shared" si="2"/>
        <v>329.16</v>
      </c>
      <c r="AX8" s="441">
        <f t="shared" si="3"/>
        <v>5667.08</v>
      </c>
      <c r="AY8" s="462">
        <f t="shared" si="5"/>
        <v>472.25666666666666</v>
      </c>
      <c r="AZ8" s="443">
        <v>0.05</v>
      </c>
      <c r="BA8" s="444">
        <v>6.7900000000000002E-2</v>
      </c>
      <c r="BB8" s="445">
        <f>'Limpeza Regional Guarapuava '!H135</f>
        <v>0.05</v>
      </c>
      <c r="BC8" s="446">
        <v>0.05</v>
      </c>
      <c r="BD8" s="445">
        <f>'Limpeza Regional Guarapuava '!H128</f>
        <v>6.4999999999999997E-3</v>
      </c>
      <c r="BE8" s="446">
        <v>6.4999999999999997E-3</v>
      </c>
      <c r="BF8" s="445">
        <f>'Limpeza Regional Guarapuava '!H129</f>
        <v>0.03</v>
      </c>
      <c r="BG8" s="446">
        <v>0.03</v>
      </c>
      <c r="BH8" s="447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 ht="14">
      <c r="A9" s="823"/>
      <c r="B9" s="465" t="s">
        <v>218</v>
      </c>
      <c r="C9" s="466">
        <v>120</v>
      </c>
      <c r="D9" s="457">
        <v>120</v>
      </c>
      <c r="E9" s="467">
        <v>2</v>
      </c>
      <c r="F9" s="453">
        <v>30</v>
      </c>
      <c r="G9" s="454">
        <v>60</v>
      </c>
      <c r="H9" s="457">
        <v>100</v>
      </c>
      <c r="I9" s="468">
        <v>1</v>
      </c>
      <c r="J9" s="466">
        <v>70</v>
      </c>
      <c r="K9" s="451">
        <v>6</v>
      </c>
      <c r="L9" s="451">
        <v>2</v>
      </c>
      <c r="M9" s="457">
        <v>6</v>
      </c>
      <c r="N9" s="457">
        <v>48</v>
      </c>
      <c r="O9" s="469">
        <v>2</v>
      </c>
      <c r="P9" s="454">
        <v>40</v>
      </c>
      <c r="Q9" s="457">
        <v>36</v>
      </c>
      <c r="R9" s="454">
        <v>50</v>
      </c>
      <c r="S9" s="457">
        <v>120</v>
      </c>
      <c r="T9" s="457">
        <v>10</v>
      </c>
      <c r="U9" s="454">
        <v>8</v>
      </c>
      <c r="V9" s="468">
        <v>4</v>
      </c>
      <c r="W9" s="451">
        <v>3</v>
      </c>
      <c r="X9" s="457">
        <v>24</v>
      </c>
      <c r="Y9" s="457">
        <v>70</v>
      </c>
      <c r="Z9" s="457">
        <v>12</v>
      </c>
      <c r="AA9" s="454">
        <v>2</v>
      </c>
      <c r="AB9" s="457">
        <v>24</v>
      </c>
      <c r="AC9" s="451">
        <v>8</v>
      </c>
      <c r="AD9" s="470">
        <v>25</v>
      </c>
      <c r="AE9" s="451">
        <v>70</v>
      </c>
      <c r="AF9" s="471">
        <v>4</v>
      </c>
      <c r="AG9" s="451">
        <v>2</v>
      </c>
      <c r="AH9" s="457">
        <v>12</v>
      </c>
      <c r="AI9" s="457">
        <v>8</v>
      </c>
      <c r="AJ9" s="451">
        <v>9</v>
      </c>
      <c r="AK9" s="451">
        <v>16</v>
      </c>
      <c r="AL9" s="451">
        <v>0</v>
      </c>
      <c r="AM9" s="451">
        <v>0</v>
      </c>
      <c r="AN9" s="451">
        <v>13</v>
      </c>
      <c r="AO9" s="451">
        <v>40</v>
      </c>
      <c r="AP9" s="468">
        <v>2</v>
      </c>
      <c r="AQ9" s="457">
        <v>50</v>
      </c>
      <c r="AR9" s="451">
        <v>2</v>
      </c>
      <c r="AS9" s="472">
        <v>3</v>
      </c>
      <c r="AT9" s="461">
        <f t="shared" si="0"/>
        <v>14677.96</v>
      </c>
      <c r="AU9" s="461">
        <f t="shared" si="4"/>
        <v>1223.1633333333332</v>
      </c>
      <c r="AV9" s="439">
        <f t="shared" si="1"/>
        <v>733.89</v>
      </c>
      <c r="AW9" s="440">
        <f t="shared" si="2"/>
        <v>1046.46</v>
      </c>
      <c r="AX9" s="441">
        <f t="shared" si="3"/>
        <v>18016.75</v>
      </c>
      <c r="AY9" s="462">
        <f t="shared" si="5"/>
        <v>1501.3958333333333</v>
      </c>
      <c r="AZ9" s="443">
        <v>0.05</v>
      </c>
      <c r="BA9" s="444">
        <v>6.7900000000000002E-2</v>
      </c>
      <c r="BB9" s="445">
        <f>'Limpeza Regional Londrina'!H135</f>
        <v>0.05</v>
      </c>
      <c r="BC9" s="446">
        <v>0.05</v>
      </c>
      <c r="BD9" s="445">
        <f>'Limpeza Regional Londrina'!H128</f>
        <v>6.4999999999999997E-3</v>
      </c>
      <c r="BE9" s="446">
        <v>6.4999999999999997E-3</v>
      </c>
      <c r="BF9" s="445">
        <f>'Limpeza Regional Londrina'!H129</f>
        <v>0.03</v>
      </c>
      <c r="BG9" s="446">
        <v>0.03</v>
      </c>
      <c r="BH9" s="447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 ht="14">
      <c r="A10" s="823"/>
      <c r="B10" s="465" t="s">
        <v>219</v>
      </c>
      <c r="C10" s="466">
        <v>120</v>
      </c>
      <c r="D10" s="457">
        <v>120</v>
      </c>
      <c r="E10" s="467">
        <v>2</v>
      </c>
      <c r="F10" s="453">
        <v>25</v>
      </c>
      <c r="G10" s="454">
        <v>120</v>
      </c>
      <c r="H10" s="457">
        <v>100</v>
      </c>
      <c r="I10" s="468">
        <v>1</v>
      </c>
      <c r="J10" s="466">
        <v>70</v>
      </c>
      <c r="K10" s="457">
        <v>6</v>
      </c>
      <c r="L10" s="451">
        <v>6</v>
      </c>
      <c r="M10" s="457">
        <v>12</v>
      </c>
      <c r="N10" s="457">
        <v>48</v>
      </c>
      <c r="O10" s="469">
        <v>2</v>
      </c>
      <c r="P10" s="454">
        <v>40</v>
      </c>
      <c r="Q10" s="457">
        <v>6</v>
      </c>
      <c r="R10" s="454">
        <v>100</v>
      </c>
      <c r="S10" s="457">
        <v>140</v>
      </c>
      <c r="T10" s="457">
        <v>20</v>
      </c>
      <c r="U10" s="454">
        <v>8</v>
      </c>
      <c r="V10" s="468">
        <v>5</v>
      </c>
      <c r="W10" s="451">
        <v>3</v>
      </c>
      <c r="X10" s="457">
        <v>12</v>
      </c>
      <c r="Y10" s="457">
        <v>80</v>
      </c>
      <c r="Z10" s="457">
        <v>20</v>
      </c>
      <c r="AA10" s="454">
        <v>40</v>
      </c>
      <c r="AB10" s="457">
        <v>24</v>
      </c>
      <c r="AC10" s="451">
        <v>8</v>
      </c>
      <c r="AD10" s="457">
        <v>25</v>
      </c>
      <c r="AE10" s="451">
        <v>60</v>
      </c>
      <c r="AF10" s="471">
        <v>5</v>
      </c>
      <c r="AG10" s="457">
        <v>12</v>
      </c>
      <c r="AH10" s="457">
        <v>12</v>
      </c>
      <c r="AI10" s="457">
        <v>16</v>
      </c>
      <c r="AJ10" s="451">
        <v>20</v>
      </c>
      <c r="AK10" s="451">
        <v>12</v>
      </c>
      <c r="AL10" s="451">
        <v>0</v>
      </c>
      <c r="AM10" s="451">
        <v>0</v>
      </c>
      <c r="AN10" s="451">
        <v>20</v>
      </c>
      <c r="AO10" s="457">
        <v>60</v>
      </c>
      <c r="AP10" s="473">
        <v>3</v>
      </c>
      <c r="AQ10" s="457">
        <v>80</v>
      </c>
      <c r="AR10" s="451">
        <v>12</v>
      </c>
      <c r="AS10" s="472">
        <v>14</v>
      </c>
      <c r="AT10" s="461">
        <f t="shared" si="0"/>
        <v>22347.3</v>
      </c>
      <c r="AU10" s="461">
        <f t="shared" si="4"/>
        <v>1862.2749999999999</v>
      </c>
      <c r="AV10" s="439">
        <f t="shared" si="1"/>
        <v>1117.3599999999999</v>
      </c>
      <c r="AW10" s="440">
        <f t="shared" si="2"/>
        <v>1593.25</v>
      </c>
      <c r="AX10" s="441">
        <f t="shared" si="3"/>
        <v>26842.959999999999</v>
      </c>
      <c r="AY10" s="462">
        <f t="shared" si="5"/>
        <v>2236.9133333333334</v>
      </c>
      <c r="AZ10" s="443">
        <v>0.05</v>
      </c>
      <c r="BA10" s="444">
        <v>6.7900000000000002E-2</v>
      </c>
      <c r="BB10" s="445">
        <f>'Limpeza Regional Maringá'!H135</f>
        <v>0.03</v>
      </c>
      <c r="BC10" s="446">
        <v>0.03</v>
      </c>
      <c r="BD10" s="445">
        <f>'Limpeza Regional Maringá'!H128</f>
        <v>6.4999999999999997E-3</v>
      </c>
      <c r="BE10" s="446">
        <v>6.4999999999999997E-3</v>
      </c>
      <c r="BF10" s="445">
        <f>'Limpeza Regional Maringá'!H129</f>
        <v>0.03</v>
      </c>
      <c r="BG10" s="446">
        <v>0.03</v>
      </c>
      <c r="BH10" s="447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</row>
    <row r="11" spans="1:109" ht="14">
      <c r="A11" s="823"/>
      <c r="B11" s="465" t="s">
        <v>220</v>
      </c>
      <c r="C11" s="466">
        <v>36</v>
      </c>
      <c r="D11" s="457">
        <v>40</v>
      </c>
      <c r="E11" s="467">
        <v>2</v>
      </c>
      <c r="F11" s="453">
        <v>5</v>
      </c>
      <c r="G11" s="454">
        <v>12</v>
      </c>
      <c r="H11" s="457">
        <v>36</v>
      </c>
      <c r="I11" s="468">
        <v>1</v>
      </c>
      <c r="J11" s="466">
        <v>18</v>
      </c>
      <c r="K11" s="451">
        <v>6</v>
      </c>
      <c r="L11" s="451">
        <v>2</v>
      </c>
      <c r="M11" s="457">
        <v>2</v>
      </c>
      <c r="N11" s="457">
        <v>8</v>
      </c>
      <c r="O11" s="469">
        <v>1</v>
      </c>
      <c r="P11" s="454">
        <v>8</v>
      </c>
      <c r="Q11" s="457">
        <v>18</v>
      </c>
      <c r="R11" s="454">
        <v>15</v>
      </c>
      <c r="S11" s="457">
        <v>10</v>
      </c>
      <c r="T11" s="457">
        <v>6</v>
      </c>
      <c r="U11" s="454">
        <v>6</v>
      </c>
      <c r="V11" s="468">
        <v>2</v>
      </c>
      <c r="W11" s="451">
        <v>3</v>
      </c>
      <c r="X11" s="457">
        <v>4</v>
      </c>
      <c r="Y11" s="457">
        <v>12</v>
      </c>
      <c r="Z11" s="457">
        <v>8</v>
      </c>
      <c r="AA11" s="454">
        <v>2</v>
      </c>
      <c r="AB11" s="457">
        <v>4</v>
      </c>
      <c r="AC11" s="451">
        <v>6</v>
      </c>
      <c r="AD11" s="457">
        <v>16</v>
      </c>
      <c r="AE11" s="451">
        <v>24</v>
      </c>
      <c r="AF11" s="471">
        <v>2</v>
      </c>
      <c r="AG11" s="457">
        <v>2</v>
      </c>
      <c r="AH11" s="457">
        <v>2</v>
      </c>
      <c r="AI11" s="457">
        <v>8</v>
      </c>
      <c r="AJ11" s="451">
        <v>1</v>
      </c>
      <c r="AK11" s="451">
        <v>1</v>
      </c>
      <c r="AL11" s="451">
        <v>5</v>
      </c>
      <c r="AM11" s="451">
        <v>2</v>
      </c>
      <c r="AN11" s="451">
        <v>4</v>
      </c>
      <c r="AO11" s="457">
        <v>8</v>
      </c>
      <c r="AP11" s="473">
        <v>1</v>
      </c>
      <c r="AQ11" s="457">
        <v>40</v>
      </c>
      <c r="AR11" s="451">
        <v>0</v>
      </c>
      <c r="AS11" s="472">
        <v>3</v>
      </c>
      <c r="AT11" s="461">
        <f t="shared" si="0"/>
        <v>6098.7900000000009</v>
      </c>
      <c r="AU11" s="461">
        <f t="shared" si="4"/>
        <v>508.23250000000007</v>
      </c>
      <c r="AV11" s="439">
        <f t="shared" si="1"/>
        <v>304.93</v>
      </c>
      <c r="AW11" s="440">
        <f t="shared" si="2"/>
        <v>434.81</v>
      </c>
      <c r="AX11" s="441">
        <f t="shared" si="3"/>
        <v>7248.04</v>
      </c>
      <c r="AY11" s="462">
        <f t="shared" si="5"/>
        <v>604.00333333333333</v>
      </c>
      <c r="AZ11" s="443">
        <v>0.05</v>
      </c>
      <c r="BA11" s="444">
        <v>6.7900000000000002E-2</v>
      </c>
      <c r="BB11" s="445">
        <f>'Limpeza Regional Pato Branco '!H135</f>
        <v>0.02</v>
      </c>
      <c r="BC11" s="446">
        <v>0.02</v>
      </c>
      <c r="BD11" s="445">
        <f>'Limpeza Regional Pato Branco '!H128</f>
        <v>6.4999999999999997E-3</v>
      </c>
      <c r="BE11" s="446">
        <v>6.4999999999999997E-3</v>
      </c>
      <c r="BF11" s="445">
        <f>'Limpeza Regional Pato Branco '!H129</f>
        <v>0.03</v>
      </c>
      <c r="BG11" s="446">
        <v>0.03</v>
      </c>
      <c r="BH11" s="447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 ht="14.5" thickBot="1">
      <c r="A12" s="833"/>
      <c r="B12" s="474" t="s">
        <v>221</v>
      </c>
      <c r="C12" s="475">
        <v>48</v>
      </c>
      <c r="D12" s="476">
        <v>16</v>
      </c>
      <c r="E12" s="477">
        <v>2</v>
      </c>
      <c r="F12" s="478">
        <v>10</v>
      </c>
      <c r="G12" s="479">
        <v>24</v>
      </c>
      <c r="H12" s="476">
        <v>48</v>
      </c>
      <c r="I12" s="480">
        <v>1</v>
      </c>
      <c r="J12" s="475">
        <v>48</v>
      </c>
      <c r="K12" s="476">
        <v>6</v>
      </c>
      <c r="L12" s="476">
        <v>2</v>
      </c>
      <c r="M12" s="476">
        <v>8</v>
      </c>
      <c r="N12" s="476">
        <v>28</v>
      </c>
      <c r="O12" s="480">
        <v>1</v>
      </c>
      <c r="P12" s="479">
        <v>16</v>
      </c>
      <c r="Q12" s="476">
        <v>36</v>
      </c>
      <c r="R12" s="479">
        <v>60</v>
      </c>
      <c r="S12" s="476">
        <v>34</v>
      </c>
      <c r="T12" s="476">
        <v>8</v>
      </c>
      <c r="U12" s="479">
        <v>6</v>
      </c>
      <c r="V12" s="480">
        <v>3</v>
      </c>
      <c r="W12" s="481">
        <v>3</v>
      </c>
      <c r="X12" s="476">
        <v>24</v>
      </c>
      <c r="Y12" s="481">
        <v>44</v>
      </c>
      <c r="Z12" s="476">
        <v>10</v>
      </c>
      <c r="AA12" s="479">
        <v>10</v>
      </c>
      <c r="AB12" s="476">
        <v>24</v>
      </c>
      <c r="AC12" s="481">
        <v>8</v>
      </c>
      <c r="AD12" s="476">
        <v>24</v>
      </c>
      <c r="AE12" s="481">
        <v>36</v>
      </c>
      <c r="AF12" s="482">
        <v>3</v>
      </c>
      <c r="AG12" s="481">
        <v>2</v>
      </c>
      <c r="AH12" s="476">
        <v>4</v>
      </c>
      <c r="AI12" s="476">
        <v>8</v>
      </c>
      <c r="AJ12" s="481">
        <v>11</v>
      </c>
      <c r="AK12" s="481">
        <v>2</v>
      </c>
      <c r="AL12" s="481">
        <v>7</v>
      </c>
      <c r="AM12" s="481">
        <v>4</v>
      </c>
      <c r="AN12" s="481">
        <v>9</v>
      </c>
      <c r="AO12" s="476">
        <v>24</v>
      </c>
      <c r="AP12" s="483">
        <v>1</v>
      </c>
      <c r="AQ12" s="476">
        <v>60</v>
      </c>
      <c r="AR12" s="481">
        <v>1</v>
      </c>
      <c r="AS12" s="484">
        <v>4</v>
      </c>
      <c r="AT12" s="485">
        <f t="shared" si="0"/>
        <v>10708.52</v>
      </c>
      <c r="AU12" s="485">
        <f t="shared" si="4"/>
        <v>892.37666666666667</v>
      </c>
      <c r="AV12" s="439">
        <f t="shared" si="1"/>
        <v>535.41999999999996</v>
      </c>
      <c r="AW12" s="440">
        <f t="shared" si="2"/>
        <v>763.46</v>
      </c>
      <c r="AX12" s="486">
        <f t="shared" si="3"/>
        <v>12862.77</v>
      </c>
      <c r="AY12" s="487">
        <f t="shared" si="5"/>
        <v>1071.8975</v>
      </c>
      <c r="AZ12" s="443">
        <v>0.05</v>
      </c>
      <c r="BA12" s="444">
        <v>6.7900000000000002E-2</v>
      </c>
      <c r="BB12" s="445">
        <f>'Limpeza Regional Ponta Gros '!H135</f>
        <v>0.03</v>
      </c>
      <c r="BC12" s="446">
        <v>0.03</v>
      </c>
      <c r="BD12" s="445">
        <f>'Limpeza Regional Ponta Gros '!H128</f>
        <v>6.4999999999999997E-3</v>
      </c>
      <c r="BE12" s="446">
        <v>6.4999999999999997E-3</v>
      </c>
      <c r="BF12" s="445">
        <f>'Limpeza Regional Ponta Gros '!H129</f>
        <v>0.03</v>
      </c>
      <c r="BG12" s="446">
        <v>0.03</v>
      </c>
      <c r="BH12" s="447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</row>
    <row r="13" spans="1:109" ht="14">
      <c r="A13" s="822" t="s">
        <v>222</v>
      </c>
      <c r="B13" s="488" t="s">
        <v>275</v>
      </c>
      <c r="C13" s="489">
        <v>12</v>
      </c>
      <c r="D13" s="490">
        <v>6</v>
      </c>
      <c r="E13" s="491">
        <v>1</v>
      </c>
      <c r="F13" s="492">
        <v>0</v>
      </c>
      <c r="G13" s="493">
        <v>4</v>
      </c>
      <c r="H13" s="490">
        <v>12</v>
      </c>
      <c r="I13" s="494">
        <v>0</v>
      </c>
      <c r="J13" s="489">
        <v>10</v>
      </c>
      <c r="K13" s="490">
        <v>1</v>
      </c>
      <c r="L13" s="490">
        <v>0</v>
      </c>
      <c r="M13" s="490">
        <v>4</v>
      </c>
      <c r="N13" s="490">
        <v>6</v>
      </c>
      <c r="O13" s="495">
        <v>0</v>
      </c>
      <c r="P13" s="493">
        <v>8</v>
      </c>
      <c r="Q13" s="490">
        <v>0</v>
      </c>
      <c r="R13" s="493">
        <v>8</v>
      </c>
      <c r="S13" s="490">
        <v>12</v>
      </c>
      <c r="T13" s="490">
        <v>2</v>
      </c>
      <c r="U13" s="493">
        <v>1</v>
      </c>
      <c r="V13" s="494">
        <v>1</v>
      </c>
      <c r="W13" s="490">
        <v>1</v>
      </c>
      <c r="X13" s="490">
        <v>0</v>
      </c>
      <c r="Y13" s="490">
        <v>6</v>
      </c>
      <c r="Z13" s="490">
        <v>2</v>
      </c>
      <c r="AA13" s="493">
        <v>2</v>
      </c>
      <c r="AB13" s="490">
        <v>1</v>
      </c>
      <c r="AC13" s="490">
        <v>0</v>
      </c>
      <c r="AD13" s="496">
        <v>0</v>
      </c>
      <c r="AE13" s="490">
        <v>6</v>
      </c>
      <c r="AF13" s="497">
        <v>1</v>
      </c>
      <c r="AG13" s="490">
        <v>0</v>
      </c>
      <c r="AH13" s="490">
        <v>0</v>
      </c>
      <c r="AI13" s="490">
        <v>2</v>
      </c>
      <c r="AJ13" s="490">
        <v>0</v>
      </c>
      <c r="AK13" s="490">
        <v>0</v>
      </c>
      <c r="AL13" s="490">
        <v>0</v>
      </c>
      <c r="AM13" s="490">
        <v>0</v>
      </c>
      <c r="AN13" s="490">
        <v>2</v>
      </c>
      <c r="AO13" s="490">
        <v>0</v>
      </c>
      <c r="AP13" s="498">
        <v>0</v>
      </c>
      <c r="AQ13" s="490">
        <v>4</v>
      </c>
      <c r="AR13" s="490">
        <v>0</v>
      </c>
      <c r="AS13" s="499">
        <v>0</v>
      </c>
      <c r="AT13" s="500">
        <f t="shared" si="0"/>
        <v>1545.5700000000004</v>
      </c>
      <c r="AU13" s="501">
        <f t="shared" si="4"/>
        <v>128.79750000000004</v>
      </c>
      <c r="AV13" s="439">
        <f t="shared" si="1"/>
        <v>77.27</v>
      </c>
      <c r="AW13" s="440">
        <f t="shared" si="2"/>
        <v>110.19</v>
      </c>
      <c r="AX13" s="502">
        <f t="shared" si="3"/>
        <v>1897.13</v>
      </c>
      <c r="AY13" s="503">
        <f t="shared" si="5"/>
        <v>158.09416666666667</v>
      </c>
      <c r="AZ13" s="443">
        <v>0.05</v>
      </c>
      <c r="BA13" s="444">
        <v>6.7900000000000002E-2</v>
      </c>
      <c r="BB13" s="445">
        <f>'Limpeza Insp Arapongas '!H135</f>
        <v>0.05</v>
      </c>
      <c r="BC13" s="446">
        <v>0.05</v>
      </c>
      <c r="BD13" s="445">
        <f>'Limpeza Insp Arapongas '!H128</f>
        <v>6.4999999999999997E-3</v>
      </c>
      <c r="BE13" s="446">
        <v>6.4999999999999997E-3</v>
      </c>
      <c r="BF13" s="445">
        <f>'Limpeza Insp Arapongas '!H129</f>
        <v>0.03</v>
      </c>
      <c r="BG13" s="446">
        <v>0.03</v>
      </c>
      <c r="BH13" s="447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 ht="14">
      <c r="A14" s="823"/>
      <c r="B14" s="449" t="s">
        <v>224</v>
      </c>
      <c r="C14" s="450">
        <v>12</v>
      </c>
      <c r="D14" s="451">
        <v>8</v>
      </c>
      <c r="E14" s="504">
        <v>1</v>
      </c>
      <c r="F14" s="453">
        <v>5</v>
      </c>
      <c r="G14" s="454">
        <v>3</v>
      </c>
      <c r="H14" s="451">
        <v>12</v>
      </c>
      <c r="I14" s="505">
        <v>0</v>
      </c>
      <c r="J14" s="450">
        <v>10</v>
      </c>
      <c r="K14" s="451">
        <v>2</v>
      </c>
      <c r="L14" s="451">
        <v>1</v>
      </c>
      <c r="M14" s="451">
        <v>0</v>
      </c>
      <c r="N14" s="451">
        <v>8</v>
      </c>
      <c r="O14" s="495">
        <v>0</v>
      </c>
      <c r="P14" s="454">
        <v>3</v>
      </c>
      <c r="Q14" s="451">
        <v>8</v>
      </c>
      <c r="R14" s="454">
        <v>4</v>
      </c>
      <c r="S14" s="451">
        <v>12</v>
      </c>
      <c r="T14" s="451">
        <v>1</v>
      </c>
      <c r="U14" s="454">
        <v>0</v>
      </c>
      <c r="V14" s="505">
        <v>0</v>
      </c>
      <c r="W14" s="451">
        <v>1</v>
      </c>
      <c r="X14" s="451">
        <v>8</v>
      </c>
      <c r="Y14" s="451">
        <v>8</v>
      </c>
      <c r="Z14" s="451">
        <v>3</v>
      </c>
      <c r="AA14" s="454">
        <v>0</v>
      </c>
      <c r="AB14" s="451">
        <v>1</v>
      </c>
      <c r="AC14" s="451">
        <v>0</v>
      </c>
      <c r="AD14" s="506">
        <v>4</v>
      </c>
      <c r="AE14" s="451">
        <v>2</v>
      </c>
      <c r="AF14" s="507">
        <v>0</v>
      </c>
      <c r="AG14" s="451">
        <v>0</v>
      </c>
      <c r="AH14" s="451">
        <v>0</v>
      </c>
      <c r="AI14" s="451">
        <v>4</v>
      </c>
      <c r="AJ14" s="451">
        <v>0</v>
      </c>
      <c r="AK14" s="451">
        <v>0</v>
      </c>
      <c r="AL14" s="451">
        <v>0</v>
      </c>
      <c r="AM14" s="451">
        <v>2</v>
      </c>
      <c r="AN14" s="451">
        <v>4</v>
      </c>
      <c r="AO14" s="451">
        <v>6</v>
      </c>
      <c r="AP14" s="498">
        <v>0</v>
      </c>
      <c r="AQ14" s="451">
        <v>4</v>
      </c>
      <c r="AR14" s="451">
        <v>0</v>
      </c>
      <c r="AS14" s="460">
        <v>1</v>
      </c>
      <c r="AT14" s="461">
        <f t="shared" si="0"/>
        <v>1906.7400000000002</v>
      </c>
      <c r="AU14" s="501">
        <f t="shared" si="4"/>
        <v>158.89500000000001</v>
      </c>
      <c r="AV14" s="439">
        <f t="shared" si="1"/>
        <v>95.33</v>
      </c>
      <c r="AW14" s="440">
        <f t="shared" si="2"/>
        <v>135.94</v>
      </c>
      <c r="AX14" s="441">
        <f t="shared" si="3"/>
        <v>2340.4499999999998</v>
      </c>
      <c r="AY14" s="462">
        <f t="shared" si="5"/>
        <v>195.03749999999999</v>
      </c>
      <c r="AZ14" s="443">
        <v>0.05</v>
      </c>
      <c r="BA14" s="444">
        <v>6.7900000000000002E-2</v>
      </c>
      <c r="BB14" s="445">
        <f>'Limpeza Insp Bandeirantes'!H135</f>
        <v>0.05</v>
      </c>
      <c r="BC14" s="446">
        <v>0.05</v>
      </c>
      <c r="BD14" s="445">
        <f>'Limpeza Insp Bandeirantes'!H128</f>
        <v>6.4999999999999997E-3</v>
      </c>
      <c r="BE14" s="446">
        <v>6.4999999999999997E-3</v>
      </c>
      <c r="BF14" s="445">
        <f>'Limpeza Insp Bandeirantes'!H129</f>
        <v>0.03</v>
      </c>
      <c r="BG14" s="446">
        <v>0.03</v>
      </c>
      <c r="BH14" s="447"/>
      <c r="BI14" s="463"/>
      <c r="BJ14"/>
      <c r="BK14" s="463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</row>
    <row r="15" spans="1:109" ht="14">
      <c r="A15" s="823"/>
      <c r="B15" s="449" t="s">
        <v>225</v>
      </c>
      <c r="C15" s="450">
        <v>5</v>
      </c>
      <c r="D15" s="451">
        <v>2</v>
      </c>
      <c r="E15" s="504">
        <v>1</v>
      </c>
      <c r="F15" s="453">
        <v>1</v>
      </c>
      <c r="G15" s="454">
        <v>3</v>
      </c>
      <c r="H15" s="451">
        <v>6</v>
      </c>
      <c r="I15" s="505">
        <v>0</v>
      </c>
      <c r="J15" s="450">
        <v>2</v>
      </c>
      <c r="K15" s="451">
        <v>0</v>
      </c>
      <c r="L15" s="451">
        <v>1</v>
      </c>
      <c r="M15" s="451">
        <v>1</v>
      </c>
      <c r="N15" s="451">
        <v>2</v>
      </c>
      <c r="O15" s="495">
        <v>0</v>
      </c>
      <c r="P15" s="454">
        <v>1</v>
      </c>
      <c r="Q15" s="451">
        <v>3</v>
      </c>
      <c r="R15" s="454">
        <v>2</v>
      </c>
      <c r="S15" s="451">
        <v>2</v>
      </c>
      <c r="T15" s="451">
        <v>1</v>
      </c>
      <c r="U15" s="454">
        <v>1</v>
      </c>
      <c r="V15" s="505">
        <v>0</v>
      </c>
      <c r="W15" s="451">
        <v>1</v>
      </c>
      <c r="X15" s="451">
        <v>2</v>
      </c>
      <c r="Y15" s="451">
        <v>5</v>
      </c>
      <c r="Z15" s="451">
        <v>2</v>
      </c>
      <c r="AA15" s="454">
        <v>4</v>
      </c>
      <c r="AB15" s="451">
        <v>1</v>
      </c>
      <c r="AC15" s="451">
        <v>1</v>
      </c>
      <c r="AD15" s="506">
        <v>3</v>
      </c>
      <c r="AE15" s="451">
        <v>0</v>
      </c>
      <c r="AF15" s="507">
        <v>0</v>
      </c>
      <c r="AG15" s="451">
        <v>1</v>
      </c>
      <c r="AH15" s="451">
        <v>0</v>
      </c>
      <c r="AI15" s="451">
        <v>1</v>
      </c>
      <c r="AJ15" s="451">
        <v>0</v>
      </c>
      <c r="AK15" s="451">
        <v>1</v>
      </c>
      <c r="AL15" s="451">
        <v>0</v>
      </c>
      <c r="AM15" s="451">
        <v>1</v>
      </c>
      <c r="AN15" s="451">
        <v>0</v>
      </c>
      <c r="AO15" s="451">
        <v>2</v>
      </c>
      <c r="AP15" s="498">
        <v>0</v>
      </c>
      <c r="AQ15" s="451">
        <v>3</v>
      </c>
      <c r="AR15" s="451">
        <v>0</v>
      </c>
      <c r="AS15" s="460">
        <v>1</v>
      </c>
      <c r="AT15" s="461">
        <f t="shared" si="0"/>
        <v>1360.6100000000004</v>
      </c>
      <c r="AU15" s="501">
        <f t="shared" si="4"/>
        <v>113.3841666666667</v>
      </c>
      <c r="AV15" s="439">
        <f t="shared" si="1"/>
        <v>68.03</v>
      </c>
      <c r="AW15" s="440">
        <f t="shared" si="2"/>
        <v>97</v>
      </c>
      <c r="AX15" s="441">
        <f t="shared" si="3"/>
        <v>1634.32</v>
      </c>
      <c r="AY15" s="462">
        <f t="shared" si="5"/>
        <v>136.19333333333333</v>
      </c>
      <c r="AZ15" s="443">
        <v>0.05</v>
      </c>
      <c r="BA15" s="444">
        <v>6.7900000000000002E-2</v>
      </c>
      <c r="BB15" s="445">
        <f>'Limpeza Insp Campo Largo'!H135</f>
        <v>0.03</v>
      </c>
      <c r="BC15" s="446">
        <v>0.03</v>
      </c>
      <c r="BD15" s="445">
        <f>'Limpeza Insp Campo Largo'!H128</f>
        <v>6.4999999999999997E-3</v>
      </c>
      <c r="BE15" s="446">
        <v>6.4999999999999997E-3</v>
      </c>
      <c r="BF15" s="445">
        <f>'Limpeza Insp Campo Largo'!H129</f>
        <v>0.03</v>
      </c>
      <c r="BG15" s="446">
        <v>0.03</v>
      </c>
      <c r="BH15" s="447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 ht="14">
      <c r="A16" s="823"/>
      <c r="B16" s="449" t="s">
        <v>226</v>
      </c>
      <c r="C16" s="450">
        <v>6</v>
      </c>
      <c r="D16" s="451">
        <v>8</v>
      </c>
      <c r="E16" s="504">
        <v>1</v>
      </c>
      <c r="F16" s="453">
        <v>0</v>
      </c>
      <c r="G16" s="454">
        <v>3</v>
      </c>
      <c r="H16" s="451">
        <v>4</v>
      </c>
      <c r="I16" s="505">
        <v>0</v>
      </c>
      <c r="J16" s="450">
        <v>8</v>
      </c>
      <c r="K16" s="451">
        <v>0</v>
      </c>
      <c r="L16" s="451">
        <v>0</v>
      </c>
      <c r="M16" s="451">
        <v>0</v>
      </c>
      <c r="N16" s="451">
        <v>8</v>
      </c>
      <c r="O16" s="495">
        <v>0</v>
      </c>
      <c r="P16" s="454">
        <v>1</v>
      </c>
      <c r="Q16" s="451">
        <v>6</v>
      </c>
      <c r="R16" s="454">
        <v>0</v>
      </c>
      <c r="S16" s="451">
        <v>10</v>
      </c>
      <c r="T16" s="451">
        <v>1</v>
      </c>
      <c r="U16" s="454">
        <v>0</v>
      </c>
      <c r="V16" s="505">
        <v>0</v>
      </c>
      <c r="W16" s="451">
        <v>1</v>
      </c>
      <c r="X16" s="451">
        <v>0</v>
      </c>
      <c r="Y16" s="451">
        <v>4</v>
      </c>
      <c r="Z16" s="451">
        <v>2</v>
      </c>
      <c r="AA16" s="454">
        <v>0</v>
      </c>
      <c r="AB16" s="451">
        <v>2</v>
      </c>
      <c r="AC16" s="451">
        <v>2</v>
      </c>
      <c r="AD16" s="506">
        <v>4</v>
      </c>
      <c r="AE16" s="451">
        <v>5</v>
      </c>
      <c r="AF16" s="507">
        <v>0</v>
      </c>
      <c r="AG16" s="451">
        <v>0</v>
      </c>
      <c r="AH16" s="451">
        <v>0</v>
      </c>
      <c r="AI16" s="451">
        <v>3</v>
      </c>
      <c r="AJ16" s="451">
        <v>0</v>
      </c>
      <c r="AK16" s="451">
        <v>1</v>
      </c>
      <c r="AL16" s="451">
        <v>0</v>
      </c>
      <c r="AM16" s="451">
        <v>1</v>
      </c>
      <c r="AN16" s="451">
        <v>1</v>
      </c>
      <c r="AO16" s="451">
        <v>0</v>
      </c>
      <c r="AP16" s="498">
        <v>0</v>
      </c>
      <c r="AQ16" s="451">
        <v>3</v>
      </c>
      <c r="AR16" s="451">
        <v>0</v>
      </c>
      <c r="AS16" s="460">
        <v>0</v>
      </c>
      <c r="AT16" s="461">
        <f t="shared" si="0"/>
        <v>1273.5000000000002</v>
      </c>
      <c r="AU16" s="501">
        <f t="shared" si="4"/>
        <v>106.12500000000001</v>
      </c>
      <c r="AV16" s="439">
        <f t="shared" si="1"/>
        <v>63.67</v>
      </c>
      <c r="AW16" s="440">
        <f t="shared" si="2"/>
        <v>90.79</v>
      </c>
      <c r="AX16" s="441">
        <f t="shared" si="3"/>
        <v>1563.17</v>
      </c>
      <c r="AY16" s="462">
        <f t="shared" si="5"/>
        <v>130.26416666666668</v>
      </c>
      <c r="AZ16" s="443">
        <v>0.05</v>
      </c>
      <c r="BA16" s="444">
        <v>6.7900000000000002E-2</v>
      </c>
      <c r="BB16" s="445">
        <f>'Limpeza Insp Campo Mourão'!H135</f>
        <v>0.05</v>
      </c>
      <c r="BC16" s="446">
        <v>0.05</v>
      </c>
      <c r="BD16" s="445">
        <f>'Limpeza Insp Campo Mourão'!H128</f>
        <v>6.4999999999999997E-3</v>
      </c>
      <c r="BE16" s="446">
        <v>6.4999999999999997E-3</v>
      </c>
      <c r="BF16" s="445">
        <f>'Limpeza Insp Campo Mourão'!H129</f>
        <v>0.03</v>
      </c>
      <c r="BG16" s="446">
        <v>0.03</v>
      </c>
      <c r="BH16" s="447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</row>
    <row r="17" spans="1:109" ht="14">
      <c r="A17" s="823"/>
      <c r="B17" s="449" t="s">
        <v>227</v>
      </c>
      <c r="C17" s="450">
        <v>6</v>
      </c>
      <c r="D17" s="451">
        <v>2</v>
      </c>
      <c r="E17" s="504">
        <v>1</v>
      </c>
      <c r="F17" s="453">
        <v>0</v>
      </c>
      <c r="G17" s="454">
        <v>3</v>
      </c>
      <c r="H17" s="451">
        <v>6</v>
      </c>
      <c r="I17" s="505">
        <v>0</v>
      </c>
      <c r="J17" s="450">
        <v>6</v>
      </c>
      <c r="K17" s="451">
        <v>1</v>
      </c>
      <c r="L17" s="451">
        <v>0</v>
      </c>
      <c r="M17" s="451">
        <v>0</v>
      </c>
      <c r="N17" s="451">
        <v>6</v>
      </c>
      <c r="O17" s="495">
        <v>0</v>
      </c>
      <c r="P17" s="454">
        <v>8</v>
      </c>
      <c r="Q17" s="451">
        <v>3</v>
      </c>
      <c r="R17" s="454">
        <v>0</v>
      </c>
      <c r="S17" s="451">
        <v>5</v>
      </c>
      <c r="T17" s="451">
        <v>1</v>
      </c>
      <c r="U17" s="454">
        <v>1</v>
      </c>
      <c r="V17" s="505">
        <v>0</v>
      </c>
      <c r="W17" s="451">
        <v>1</v>
      </c>
      <c r="X17" s="451">
        <v>0</v>
      </c>
      <c r="Y17" s="451">
        <v>2</v>
      </c>
      <c r="Z17" s="451">
        <v>2</v>
      </c>
      <c r="AA17" s="454">
        <v>0</v>
      </c>
      <c r="AB17" s="451">
        <v>1</v>
      </c>
      <c r="AC17" s="451">
        <v>0</v>
      </c>
      <c r="AD17" s="506">
        <v>1</v>
      </c>
      <c r="AE17" s="451">
        <v>2</v>
      </c>
      <c r="AF17" s="507">
        <v>0</v>
      </c>
      <c r="AG17" s="451">
        <v>1</v>
      </c>
      <c r="AH17" s="451">
        <v>1</v>
      </c>
      <c r="AI17" s="451">
        <v>2</v>
      </c>
      <c r="AJ17" s="451">
        <v>0</v>
      </c>
      <c r="AK17" s="451">
        <v>0</v>
      </c>
      <c r="AL17" s="451">
        <v>4</v>
      </c>
      <c r="AM17" s="451">
        <v>0</v>
      </c>
      <c r="AN17" s="451">
        <v>0</v>
      </c>
      <c r="AO17" s="451">
        <v>4</v>
      </c>
      <c r="AP17" s="498">
        <v>0</v>
      </c>
      <c r="AQ17" s="451">
        <v>4</v>
      </c>
      <c r="AR17" s="451">
        <v>0</v>
      </c>
      <c r="AS17" s="460">
        <v>0</v>
      </c>
      <c r="AT17" s="461">
        <f t="shared" si="0"/>
        <v>1246.3700000000001</v>
      </c>
      <c r="AU17" s="501">
        <f t="shared" si="4"/>
        <v>103.86416666666668</v>
      </c>
      <c r="AV17" s="439">
        <f t="shared" si="1"/>
        <v>62.31</v>
      </c>
      <c r="AW17" s="440">
        <f t="shared" si="2"/>
        <v>88.85</v>
      </c>
      <c r="AX17" s="441">
        <f t="shared" si="3"/>
        <v>1497.08</v>
      </c>
      <c r="AY17" s="462">
        <f t="shared" si="5"/>
        <v>124.75666666666666</v>
      </c>
      <c r="AZ17" s="443">
        <v>0.05</v>
      </c>
      <c r="BA17" s="444">
        <v>6.7900000000000002E-2</v>
      </c>
      <c r="BB17" s="445">
        <f>'Limpeza Insp Castro'!H135</f>
        <v>0.03</v>
      </c>
      <c r="BC17" s="446">
        <v>0.03</v>
      </c>
      <c r="BD17" s="445">
        <f>'Limpeza Insp Castro'!H128</f>
        <v>6.4999999999999997E-3</v>
      </c>
      <c r="BE17" s="446">
        <v>6.4999999999999997E-3</v>
      </c>
      <c r="BF17" s="445">
        <f>'Limpeza Insp Castro'!H129</f>
        <v>0.03</v>
      </c>
      <c r="BG17" s="446">
        <v>0.03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 ht="14">
      <c r="A18" s="823"/>
      <c r="B18" s="449" t="s">
        <v>228</v>
      </c>
      <c r="C18" s="450">
        <v>4</v>
      </c>
      <c r="D18" s="451">
        <v>0</v>
      </c>
      <c r="E18" s="504">
        <v>1</v>
      </c>
      <c r="F18" s="453">
        <v>1</v>
      </c>
      <c r="G18" s="454">
        <v>3</v>
      </c>
      <c r="H18" s="451">
        <v>12</v>
      </c>
      <c r="I18" s="505">
        <v>0</v>
      </c>
      <c r="J18" s="450">
        <v>6</v>
      </c>
      <c r="K18" s="451">
        <v>0</v>
      </c>
      <c r="L18" s="451">
        <v>0</v>
      </c>
      <c r="M18" s="451">
        <v>0</v>
      </c>
      <c r="N18" s="451">
        <v>8</v>
      </c>
      <c r="O18" s="495">
        <v>0</v>
      </c>
      <c r="P18" s="454">
        <v>8</v>
      </c>
      <c r="Q18" s="451">
        <v>4</v>
      </c>
      <c r="R18" s="454">
        <v>0</v>
      </c>
      <c r="S18" s="451">
        <v>12</v>
      </c>
      <c r="T18" s="451">
        <v>1</v>
      </c>
      <c r="U18" s="454">
        <v>1</v>
      </c>
      <c r="V18" s="505">
        <v>0</v>
      </c>
      <c r="W18" s="451">
        <v>1</v>
      </c>
      <c r="X18" s="451">
        <v>4</v>
      </c>
      <c r="Y18" s="451">
        <v>4</v>
      </c>
      <c r="Z18" s="451">
        <v>4</v>
      </c>
      <c r="AA18" s="454">
        <v>2</v>
      </c>
      <c r="AB18" s="451">
        <v>0</v>
      </c>
      <c r="AC18" s="451">
        <v>2</v>
      </c>
      <c r="AD18" s="506">
        <v>4</v>
      </c>
      <c r="AE18" s="451">
        <v>2</v>
      </c>
      <c r="AF18" s="507">
        <v>0</v>
      </c>
      <c r="AG18" s="451">
        <v>0</v>
      </c>
      <c r="AH18" s="451">
        <v>0</v>
      </c>
      <c r="AI18" s="451">
        <v>1</v>
      </c>
      <c r="AJ18" s="451">
        <v>0</v>
      </c>
      <c r="AK18" s="451">
        <v>1</v>
      </c>
      <c r="AL18" s="451">
        <v>2</v>
      </c>
      <c r="AM18" s="451">
        <v>1</v>
      </c>
      <c r="AN18" s="451">
        <v>1</v>
      </c>
      <c r="AO18" s="451">
        <v>8</v>
      </c>
      <c r="AP18" s="498">
        <v>0</v>
      </c>
      <c r="AQ18" s="451">
        <v>4</v>
      </c>
      <c r="AR18" s="451">
        <v>0</v>
      </c>
      <c r="AS18" s="460">
        <v>1</v>
      </c>
      <c r="AT18" s="461">
        <f t="shared" si="0"/>
        <v>2081.9300000000003</v>
      </c>
      <c r="AU18" s="501">
        <f t="shared" si="4"/>
        <v>173.4941666666667</v>
      </c>
      <c r="AV18" s="439">
        <f t="shared" si="1"/>
        <v>104.09</v>
      </c>
      <c r="AW18" s="440">
        <f t="shared" si="2"/>
        <v>148.43</v>
      </c>
      <c r="AX18" s="441">
        <f t="shared" si="3"/>
        <v>2555.5</v>
      </c>
      <c r="AY18" s="462">
        <f t="shared" si="5"/>
        <v>212.95833333333334</v>
      </c>
      <c r="AZ18" s="443">
        <v>0.05</v>
      </c>
      <c r="BA18" s="444">
        <v>6.7900000000000002E-2</v>
      </c>
      <c r="BB18" s="445">
        <f>'Limpeza Insp Cianorte'!H135</f>
        <v>0.05</v>
      </c>
      <c r="BC18" s="446">
        <v>0.05</v>
      </c>
      <c r="BD18" s="445">
        <f>'Limpeza Insp Cianorte'!H128</f>
        <v>6.4999999999999997E-3</v>
      </c>
      <c r="BE18" s="446">
        <v>6.4999999999999997E-3</v>
      </c>
      <c r="BF18" s="445">
        <f>'Limpeza Insp Cianorte'!H129</f>
        <v>0.03</v>
      </c>
      <c r="BG18" s="446">
        <v>0.03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 ht="14">
      <c r="A19" s="823"/>
      <c r="B19" s="449" t="s">
        <v>229</v>
      </c>
      <c r="C19" s="450">
        <v>12</v>
      </c>
      <c r="D19" s="451">
        <v>12</v>
      </c>
      <c r="E19" s="504">
        <v>1</v>
      </c>
      <c r="F19" s="453">
        <v>5</v>
      </c>
      <c r="G19" s="454">
        <v>5</v>
      </c>
      <c r="H19" s="451">
        <v>12</v>
      </c>
      <c r="I19" s="505">
        <v>0</v>
      </c>
      <c r="J19" s="450">
        <v>10</v>
      </c>
      <c r="K19" s="451">
        <v>4</v>
      </c>
      <c r="L19" s="451">
        <v>0</v>
      </c>
      <c r="M19" s="451">
        <v>0</v>
      </c>
      <c r="N19" s="451">
        <v>4</v>
      </c>
      <c r="O19" s="495">
        <v>0</v>
      </c>
      <c r="P19" s="454">
        <v>4</v>
      </c>
      <c r="Q19" s="451">
        <v>5</v>
      </c>
      <c r="R19" s="454">
        <v>0</v>
      </c>
      <c r="S19" s="451">
        <v>12</v>
      </c>
      <c r="T19" s="451">
        <v>1</v>
      </c>
      <c r="U19" s="454">
        <v>0</v>
      </c>
      <c r="V19" s="505">
        <v>1</v>
      </c>
      <c r="W19" s="451">
        <v>1</v>
      </c>
      <c r="X19" s="451">
        <v>0</v>
      </c>
      <c r="Y19" s="451">
        <v>8</v>
      </c>
      <c r="Z19" s="451">
        <v>2</v>
      </c>
      <c r="AA19" s="454">
        <v>0</v>
      </c>
      <c r="AB19" s="451">
        <v>3</v>
      </c>
      <c r="AC19" s="451">
        <v>2</v>
      </c>
      <c r="AD19" s="506">
        <v>0</v>
      </c>
      <c r="AE19" s="451">
        <v>8</v>
      </c>
      <c r="AF19" s="507">
        <v>1</v>
      </c>
      <c r="AG19" s="451">
        <v>0</v>
      </c>
      <c r="AH19" s="451">
        <v>0</v>
      </c>
      <c r="AI19" s="451">
        <v>6</v>
      </c>
      <c r="AJ19" s="451">
        <v>0</v>
      </c>
      <c r="AK19" s="451">
        <v>0</v>
      </c>
      <c r="AL19" s="451">
        <v>2</v>
      </c>
      <c r="AM19" s="451">
        <v>0</v>
      </c>
      <c r="AN19" s="451">
        <v>0</v>
      </c>
      <c r="AO19" s="451">
        <v>0</v>
      </c>
      <c r="AP19" s="498">
        <v>0</v>
      </c>
      <c r="AQ19" s="451">
        <v>3</v>
      </c>
      <c r="AR19" s="451">
        <v>0</v>
      </c>
      <c r="AS19" s="460">
        <v>1</v>
      </c>
      <c r="AT19" s="461">
        <f t="shared" si="0"/>
        <v>1695.51</v>
      </c>
      <c r="AU19" s="501">
        <f t="shared" si="4"/>
        <v>141.29249999999999</v>
      </c>
      <c r="AV19" s="439">
        <f t="shared" si="1"/>
        <v>84.77</v>
      </c>
      <c r="AW19" s="440">
        <f t="shared" si="2"/>
        <v>120.88</v>
      </c>
      <c r="AX19" s="441">
        <f t="shared" si="3"/>
        <v>2081.1799999999998</v>
      </c>
      <c r="AY19" s="462">
        <f t="shared" si="5"/>
        <v>173.43166666666664</v>
      </c>
      <c r="AZ19" s="443">
        <v>0.05</v>
      </c>
      <c r="BA19" s="444">
        <v>6.7900000000000002E-2</v>
      </c>
      <c r="BB19" s="445">
        <f>'Limpeza Insp Cornélio Proc.'!H135</f>
        <v>0.05</v>
      </c>
      <c r="BC19" s="446">
        <v>0.05</v>
      </c>
      <c r="BD19" s="445">
        <f>'Limpeza Insp Cornélio Proc.'!H128</f>
        <v>6.4999999999999997E-3</v>
      </c>
      <c r="BE19" s="446">
        <v>6.4999999999999997E-3</v>
      </c>
      <c r="BF19" s="445">
        <f>'Limpeza Insp Cornélio Proc.'!H129</f>
        <v>0.03</v>
      </c>
      <c r="BG19" s="446">
        <v>0.03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 ht="14">
      <c r="A20" s="823"/>
      <c r="B20" s="449" t="s">
        <v>230</v>
      </c>
      <c r="C20" s="450">
        <v>8</v>
      </c>
      <c r="D20" s="451">
        <v>8</v>
      </c>
      <c r="E20" s="504">
        <v>1</v>
      </c>
      <c r="F20" s="453">
        <v>0</v>
      </c>
      <c r="G20" s="454">
        <v>3</v>
      </c>
      <c r="H20" s="451">
        <v>10</v>
      </c>
      <c r="I20" s="505">
        <v>0</v>
      </c>
      <c r="J20" s="450">
        <v>3</v>
      </c>
      <c r="K20" s="451">
        <v>0</v>
      </c>
      <c r="L20" s="451">
        <v>0</v>
      </c>
      <c r="M20" s="451">
        <v>1</v>
      </c>
      <c r="N20" s="451">
        <v>4</v>
      </c>
      <c r="O20" s="495">
        <v>0</v>
      </c>
      <c r="P20" s="454">
        <v>0</v>
      </c>
      <c r="Q20" s="451">
        <v>4</v>
      </c>
      <c r="R20" s="454">
        <v>8</v>
      </c>
      <c r="S20" s="451">
        <v>12</v>
      </c>
      <c r="T20" s="451">
        <v>1</v>
      </c>
      <c r="U20" s="454">
        <v>0</v>
      </c>
      <c r="V20" s="505">
        <v>0</v>
      </c>
      <c r="W20" s="451">
        <v>1</v>
      </c>
      <c r="X20" s="451">
        <v>2</v>
      </c>
      <c r="Y20" s="451">
        <v>2</v>
      </c>
      <c r="Z20" s="451">
        <v>3</v>
      </c>
      <c r="AA20" s="454">
        <v>0</v>
      </c>
      <c r="AB20" s="451">
        <v>0</v>
      </c>
      <c r="AC20" s="451">
        <v>0</v>
      </c>
      <c r="AD20" s="506">
        <v>2</v>
      </c>
      <c r="AE20" s="451">
        <v>2</v>
      </c>
      <c r="AF20" s="507">
        <v>0</v>
      </c>
      <c r="AG20" s="451">
        <v>0</v>
      </c>
      <c r="AH20" s="451">
        <v>0</v>
      </c>
      <c r="AI20" s="451">
        <v>2</v>
      </c>
      <c r="AJ20" s="451">
        <v>0</v>
      </c>
      <c r="AK20" s="451">
        <v>0</v>
      </c>
      <c r="AL20" s="451">
        <v>0</v>
      </c>
      <c r="AM20" s="451">
        <v>3</v>
      </c>
      <c r="AN20" s="451">
        <v>0</v>
      </c>
      <c r="AO20" s="451">
        <v>6</v>
      </c>
      <c r="AP20" s="498">
        <v>0</v>
      </c>
      <c r="AQ20" s="451">
        <v>3</v>
      </c>
      <c r="AR20" s="451">
        <v>0</v>
      </c>
      <c r="AS20" s="460">
        <v>1</v>
      </c>
      <c r="AT20" s="461">
        <f t="shared" si="0"/>
        <v>1522.12</v>
      </c>
      <c r="AU20" s="501">
        <f t="shared" si="4"/>
        <v>126.84333333333332</v>
      </c>
      <c r="AV20" s="439">
        <f t="shared" si="1"/>
        <v>76.099999999999994</v>
      </c>
      <c r="AW20" s="440">
        <f t="shared" si="2"/>
        <v>108.51</v>
      </c>
      <c r="AX20" s="441">
        <f t="shared" si="3"/>
        <v>1848.11</v>
      </c>
      <c r="AY20" s="462">
        <f t="shared" si="5"/>
        <v>154.00916666666666</v>
      </c>
      <c r="AZ20" s="443">
        <v>0.05</v>
      </c>
      <c r="BA20" s="444">
        <v>6.7900000000000002E-2</v>
      </c>
      <c r="BB20" s="445">
        <f>'Limpeza Insp Foz do Iguaçu'!H135</f>
        <v>0.04</v>
      </c>
      <c r="BC20" s="446">
        <v>0.04</v>
      </c>
      <c r="BD20" s="445">
        <f>'Limpeza Insp Foz do Iguaçu'!H128</f>
        <v>6.4999999999999997E-3</v>
      </c>
      <c r="BE20" s="446">
        <v>6.4999999999999997E-3</v>
      </c>
      <c r="BF20" s="445">
        <f>'Limpeza Insp Foz do Iguaçu'!H129</f>
        <v>0.03</v>
      </c>
      <c r="BG20" s="446">
        <v>0.03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 ht="14">
      <c r="A21" s="823"/>
      <c r="B21" s="449" t="s">
        <v>231</v>
      </c>
      <c r="C21" s="450">
        <v>12</v>
      </c>
      <c r="D21" s="451">
        <v>12</v>
      </c>
      <c r="E21" s="504">
        <v>1</v>
      </c>
      <c r="F21" s="453">
        <v>1</v>
      </c>
      <c r="G21" s="454">
        <v>5</v>
      </c>
      <c r="H21" s="451">
        <v>6</v>
      </c>
      <c r="I21" s="505">
        <v>0</v>
      </c>
      <c r="J21" s="450">
        <v>6</v>
      </c>
      <c r="K21" s="451">
        <v>1</v>
      </c>
      <c r="L21" s="451">
        <v>0</v>
      </c>
      <c r="M21" s="451">
        <v>0</v>
      </c>
      <c r="N21" s="451">
        <v>8</v>
      </c>
      <c r="O21" s="495">
        <v>0</v>
      </c>
      <c r="P21" s="454">
        <v>8</v>
      </c>
      <c r="Q21" s="451">
        <v>0</v>
      </c>
      <c r="R21" s="454">
        <v>8</v>
      </c>
      <c r="S21" s="451">
        <v>12</v>
      </c>
      <c r="T21" s="451">
        <v>1</v>
      </c>
      <c r="U21" s="454">
        <v>1</v>
      </c>
      <c r="V21" s="505">
        <v>0</v>
      </c>
      <c r="W21" s="451">
        <v>1</v>
      </c>
      <c r="X21" s="451">
        <v>2</v>
      </c>
      <c r="Y21" s="451">
        <v>8</v>
      </c>
      <c r="Z21" s="451">
        <v>2</v>
      </c>
      <c r="AA21" s="454">
        <v>1</v>
      </c>
      <c r="AB21" s="451">
        <v>2</v>
      </c>
      <c r="AC21" s="451">
        <v>2</v>
      </c>
      <c r="AD21" s="506">
        <v>1</v>
      </c>
      <c r="AE21" s="451">
        <v>4</v>
      </c>
      <c r="AF21" s="507">
        <v>0</v>
      </c>
      <c r="AG21" s="451">
        <v>1</v>
      </c>
      <c r="AH21" s="451">
        <v>0</v>
      </c>
      <c r="AI21" s="451">
        <v>3</v>
      </c>
      <c r="AJ21" s="451">
        <v>0</v>
      </c>
      <c r="AK21" s="451">
        <v>0</v>
      </c>
      <c r="AL21" s="451">
        <v>2</v>
      </c>
      <c r="AM21" s="451">
        <v>2</v>
      </c>
      <c r="AN21" s="451">
        <v>0</v>
      </c>
      <c r="AO21" s="451">
        <v>8</v>
      </c>
      <c r="AP21" s="498">
        <v>0</v>
      </c>
      <c r="AQ21" s="451">
        <v>4</v>
      </c>
      <c r="AR21" s="451">
        <v>1</v>
      </c>
      <c r="AS21" s="460">
        <v>0</v>
      </c>
      <c r="AT21" s="461">
        <f t="shared" si="0"/>
        <v>1725.2299999999998</v>
      </c>
      <c r="AU21" s="501">
        <f t="shared" si="4"/>
        <v>143.76916666666665</v>
      </c>
      <c r="AV21" s="439">
        <f t="shared" si="1"/>
        <v>86.26</v>
      </c>
      <c r="AW21" s="440">
        <f t="shared" si="2"/>
        <v>123</v>
      </c>
      <c r="AX21" s="441">
        <f t="shared" si="3"/>
        <v>2072.29</v>
      </c>
      <c r="AY21" s="462">
        <f t="shared" si="5"/>
        <v>172.69083333333333</v>
      </c>
      <c r="AZ21" s="443">
        <v>0.05</v>
      </c>
      <c r="BA21" s="444">
        <v>6.7900000000000002E-2</v>
      </c>
      <c r="BB21" s="445">
        <f>'Limpeza Insp Francisco Belt.'!H135</f>
        <v>0.03</v>
      </c>
      <c r="BC21" s="446">
        <v>0.03</v>
      </c>
      <c r="BD21" s="445">
        <f>'Limpeza Insp Francisco Belt.'!H128</f>
        <v>6.4999999999999997E-3</v>
      </c>
      <c r="BE21" s="446">
        <v>6.4999999999999997E-3</v>
      </c>
      <c r="BF21" s="445">
        <f>'Limpeza Insp Francisco Belt.'!H129</f>
        <v>0.03</v>
      </c>
      <c r="BG21" s="446">
        <v>0.03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 ht="14">
      <c r="A22" s="823"/>
      <c r="B22" s="449" t="s">
        <v>232</v>
      </c>
      <c r="C22" s="450">
        <v>12</v>
      </c>
      <c r="D22" s="451">
        <v>5</v>
      </c>
      <c r="E22" s="504">
        <v>1</v>
      </c>
      <c r="F22" s="453">
        <v>2</v>
      </c>
      <c r="G22" s="454">
        <v>4</v>
      </c>
      <c r="H22" s="451">
        <v>12</v>
      </c>
      <c r="I22" s="505">
        <v>0</v>
      </c>
      <c r="J22" s="450">
        <v>8</v>
      </c>
      <c r="K22" s="451">
        <v>1</v>
      </c>
      <c r="L22" s="451">
        <v>0</v>
      </c>
      <c r="M22" s="451">
        <v>0</v>
      </c>
      <c r="N22" s="451">
        <v>4</v>
      </c>
      <c r="O22" s="495">
        <v>0</v>
      </c>
      <c r="P22" s="454">
        <v>8</v>
      </c>
      <c r="Q22" s="451">
        <v>3</v>
      </c>
      <c r="R22" s="454">
        <v>0</v>
      </c>
      <c r="S22" s="451">
        <v>10</v>
      </c>
      <c r="T22" s="451">
        <v>1</v>
      </c>
      <c r="U22" s="454">
        <v>1</v>
      </c>
      <c r="V22" s="505">
        <v>0</v>
      </c>
      <c r="W22" s="451">
        <v>1</v>
      </c>
      <c r="X22" s="451">
        <v>0</v>
      </c>
      <c r="Y22" s="451">
        <v>6</v>
      </c>
      <c r="Z22" s="451">
        <v>2</v>
      </c>
      <c r="AA22" s="454">
        <v>3</v>
      </c>
      <c r="AB22" s="451">
        <v>3</v>
      </c>
      <c r="AC22" s="451">
        <v>0</v>
      </c>
      <c r="AD22" s="506">
        <v>1</v>
      </c>
      <c r="AE22" s="451">
        <v>4</v>
      </c>
      <c r="AF22" s="507">
        <v>0</v>
      </c>
      <c r="AG22" s="451">
        <v>0</v>
      </c>
      <c r="AH22" s="451">
        <v>2</v>
      </c>
      <c r="AI22" s="451">
        <v>4</v>
      </c>
      <c r="AJ22" s="451">
        <v>0</v>
      </c>
      <c r="AK22" s="451">
        <v>0</v>
      </c>
      <c r="AL22" s="451">
        <v>0</v>
      </c>
      <c r="AM22" s="451">
        <v>1</v>
      </c>
      <c r="AN22" s="451">
        <v>4</v>
      </c>
      <c r="AO22" s="451">
        <v>4</v>
      </c>
      <c r="AP22" s="498">
        <v>0</v>
      </c>
      <c r="AQ22" s="451">
        <v>4</v>
      </c>
      <c r="AR22" s="451">
        <v>0</v>
      </c>
      <c r="AS22" s="460">
        <v>1</v>
      </c>
      <c r="AT22" s="461">
        <f t="shared" si="0"/>
        <v>1650.66</v>
      </c>
      <c r="AU22" s="501">
        <f t="shared" si="4"/>
        <v>137.55500000000001</v>
      </c>
      <c r="AV22" s="439">
        <f t="shared" si="1"/>
        <v>82.53</v>
      </c>
      <c r="AW22" s="440">
        <f t="shared" si="2"/>
        <v>117.68</v>
      </c>
      <c r="AX22" s="441">
        <f t="shared" si="3"/>
        <v>2015.1</v>
      </c>
      <c r="AY22" s="462">
        <f t="shared" si="5"/>
        <v>167.92499999999998</v>
      </c>
      <c r="AZ22" s="443">
        <v>0.05</v>
      </c>
      <c r="BA22" s="444">
        <v>6.7900000000000002E-2</v>
      </c>
      <c r="BB22" s="445">
        <f>'Limpeza Insp Ibaiti'!H135</f>
        <v>4.4999999999999998E-2</v>
      </c>
      <c r="BC22" s="446">
        <v>4.4999999999999998E-2</v>
      </c>
      <c r="BD22" s="445">
        <f>'Limpeza Insp Ibaiti'!H128</f>
        <v>6.4999999999999997E-3</v>
      </c>
      <c r="BE22" s="446">
        <v>6.4999999999999997E-3</v>
      </c>
      <c r="BF22" s="445">
        <f>'Limpeza Insp Ibaiti'!H129</f>
        <v>0.03</v>
      </c>
      <c r="BG22" s="446">
        <v>0.03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</row>
    <row r="23" spans="1:109" ht="14">
      <c r="A23" s="823"/>
      <c r="B23" s="449" t="s">
        <v>276</v>
      </c>
      <c r="C23" s="450">
        <v>12</v>
      </c>
      <c r="D23" s="451">
        <v>8</v>
      </c>
      <c r="E23" s="504">
        <v>1</v>
      </c>
      <c r="F23" s="453">
        <v>1</v>
      </c>
      <c r="G23" s="454">
        <v>3</v>
      </c>
      <c r="H23" s="451">
        <v>12</v>
      </c>
      <c r="I23" s="505">
        <v>0</v>
      </c>
      <c r="J23" s="450">
        <v>10</v>
      </c>
      <c r="K23" s="451">
        <v>0</v>
      </c>
      <c r="L23" s="451">
        <v>1</v>
      </c>
      <c r="M23" s="451">
        <v>0</v>
      </c>
      <c r="N23" s="451">
        <v>8</v>
      </c>
      <c r="O23" s="495">
        <v>0</v>
      </c>
      <c r="P23" s="454">
        <v>5</v>
      </c>
      <c r="Q23" s="451">
        <v>8</v>
      </c>
      <c r="R23" s="454">
        <v>1</v>
      </c>
      <c r="S23" s="451">
        <v>12</v>
      </c>
      <c r="T23" s="451">
        <v>1</v>
      </c>
      <c r="U23" s="454">
        <v>0</v>
      </c>
      <c r="V23" s="505">
        <v>1</v>
      </c>
      <c r="W23" s="451">
        <v>1</v>
      </c>
      <c r="X23" s="451">
        <v>6</v>
      </c>
      <c r="Y23" s="451">
        <v>8</v>
      </c>
      <c r="Z23" s="451">
        <v>2</v>
      </c>
      <c r="AA23" s="454">
        <v>0</v>
      </c>
      <c r="AB23" s="451">
        <v>3</v>
      </c>
      <c r="AC23" s="451">
        <v>1</v>
      </c>
      <c r="AD23" s="506">
        <v>4</v>
      </c>
      <c r="AE23" s="451">
        <v>0</v>
      </c>
      <c r="AF23" s="507">
        <v>1</v>
      </c>
      <c r="AG23" s="451">
        <v>1</v>
      </c>
      <c r="AH23" s="451">
        <v>4</v>
      </c>
      <c r="AI23" s="451">
        <v>6</v>
      </c>
      <c r="AJ23" s="451">
        <v>0</v>
      </c>
      <c r="AK23" s="451">
        <v>2</v>
      </c>
      <c r="AL23" s="451">
        <v>2</v>
      </c>
      <c r="AM23" s="451">
        <v>2</v>
      </c>
      <c r="AN23" s="451">
        <v>1</v>
      </c>
      <c r="AO23" s="451">
        <v>8</v>
      </c>
      <c r="AP23" s="498">
        <v>0</v>
      </c>
      <c r="AQ23" s="451">
        <v>4</v>
      </c>
      <c r="AR23" s="451">
        <v>0</v>
      </c>
      <c r="AS23" s="460">
        <v>1</v>
      </c>
      <c r="AT23" s="461">
        <f t="shared" si="0"/>
        <v>1959.9700000000005</v>
      </c>
      <c r="AU23" s="501">
        <f t="shared" si="4"/>
        <v>163.33083333333337</v>
      </c>
      <c r="AV23" s="439">
        <f t="shared" si="1"/>
        <v>97.99</v>
      </c>
      <c r="AW23" s="440">
        <f t="shared" si="2"/>
        <v>139.72999999999999</v>
      </c>
      <c r="AX23" s="441">
        <f t="shared" si="3"/>
        <v>2405.79</v>
      </c>
      <c r="AY23" s="462">
        <f t="shared" si="5"/>
        <v>200.48249999999999</v>
      </c>
      <c r="AZ23" s="443">
        <v>0.05</v>
      </c>
      <c r="BA23" s="444">
        <v>6.7900000000000002E-2</v>
      </c>
      <c r="BB23" s="445">
        <f>'Limpeza Insp Irati'!H135</f>
        <v>0.05</v>
      </c>
      <c r="BC23" s="446">
        <v>0.05</v>
      </c>
      <c r="BD23" s="445">
        <f>'Limpeza Insp Ibaiti'!H128</f>
        <v>6.4999999999999997E-3</v>
      </c>
      <c r="BE23" s="446">
        <v>6.4999999999999997E-3</v>
      </c>
      <c r="BF23" s="445">
        <f>'Limpeza Insp Irati'!H129</f>
        <v>0.03</v>
      </c>
      <c r="BG23" s="446">
        <v>0.03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</row>
    <row r="24" spans="1:109" ht="14">
      <c r="A24" s="823"/>
      <c r="B24" s="449" t="s">
        <v>277</v>
      </c>
      <c r="C24" s="450">
        <v>3</v>
      </c>
      <c r="D24" s="451">
        <v>4</v>
      </c>
      <c r="E24" s="504">
        <v>1</v>
      </c>
      <c r="F24" s="453">
        <v>0</v>
      </c>
      <c r="G24" s="454">
        <v>3</v>
      </c>
      <c r="H24" s="451">
        <v>5</v>
      </c>
      <c r="I24" s="505">
        <v>0</v>
      </c>
      <c r="J24" s="450">
        <v>4</v>
      </c>
      <c r="K24" s="451">
        <v>2</v>
      </c>
      <c r="L24" s="451">
        <v>1</v>
      </c>
      <c r="M24" s="451">
        <v>1</v>
      </c>
      <c r="N24" s="451">
        <v>2</v>
      </c>
      <c r="O24" s="495">
        <v>0</v>
      </c>
      <c r="P24" s="454">
        <v>1</v>
      </c>
      <c r="Q24" s="451">
        <v>5</v>
      </c>
      <c r="R24" s="454">
        <v>0</v>
      </c>
      <c r="S24" s="451">
        <v>1</v>
      </c>
      <c r="T24" s="451">
        <v>1</v>
      </c>
      <c r="U24" s="454">
        <v>0</v>
      </c>
      <c r="V24" s="505">
        <v>0</v>
      </c>
      <c r="W24" s="451">
        <v>1</v>
      </c>
      <c r="X24" s="451">
        <v>0</v>
      </c>
      <c r="Y24" s="451">
        <v>2</v>
      </c>
      <c r="Z24" s="451">
        <v>2</v>
      </c>
      <c r="AA24" s="454">
        <v>0</v>
      </c>
      <c r="AB24" s="451">
        <v>2</v>
      </c>
      <c r="AC24" s="451">
        <v>1</v>
      </c>
      <c r="AD24" s="506">
        <v>0</v>
      </c>
      <c r="AE24" s="451">
        <v>4</v>
      </c>
      <c r="AF24" s="507">
        <v>0</v>
      </c>
      <c r="AG24" s="451">
        <v>0</v>
      </c>
      <c r="AH24" s="451">
        <v>0</v>
      </c>
      <c r="AI24" s="451">
        <v>1</v>
      </c>
      <c r="AJ24" s="451">
        <v>0</v>
      </c>
      <c r="AK24" s="451">
        <v>2</v>
      </c>
      <c r="AL24" s="451">
        <v>0</v>
      </c>
      <c r="AM24" s="451">
        <v>0</v>
      </c>
      <c r="AN24" s="451">
        <v>1</v>
      </c>
      <c r="AO24" s="451">
        <v>0</v>
      </c>
      <c r="AP24" s="498">
        <v>0</v>
      </c>
      <c r="AQ24" s="451">
        <v>4</v>
      </c>
      <c r="AR24" s="451">
        <v>2</v>
      </c>
      <c r="AS24" s="460">
        <v>0</v>
      </c>
      <c r="AT24" s="461">
        <f t="shared" si="0"/>
        <v>1167.5400000000002</v>
      </c>
      <c r="AU24" s="501">
        <f t="shared" si="4"/>
        <v>97.295000000000016</v>
      </c>
      <c r="AV24" s="439">
        <f t="shared" si="1"/>
        <v>58.37</v>
      </c>
      <c r="AW24" s="440">
        <f t="shared" si="2"/>
        <v>83.23</v>
      </c>
      <c r="AX24" s="441">
        <f t="shared" si="3"/>
        <v>1417.58</v>
      </c>
      <c r="AY24" s="462">
        <f t="shared" si="5"/>
        <v>118.13166666666666</v>
      </c>
      <c r="AZ24" s="443">
        <v>0.05</v>
      </c>
      <c r="BA24" s="444">
        <v>6.7900000000000002E-2</v>
      </c>
      <c r="BB24" s="445">
        <f>'Limpeza Insp Ivaiporã'!H135</f>
        <v>0.04</v>
      </c>
      <c r="BC24" s="446">
        <v>0.04</v>
      </c>
      <c r="BD24" s="445">
        <f>'Limpeza Insp Ivaiporã'!H128</f>
        <v>6.4999999999999997E-3</v>
      </c>
      <c r="BE24" s="446">
        <v>6.4999999999999997E-3</v>
      </c>
      <c r="BF24" s="445">
        <f>'Limpeza Insp Ivaiporã'!H129</f>
        <v>0.03</v>
      </c>
      <c r="BG24" s="446">
        <v>0.03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 ht="14">
      <c r="A25" s="823"/>
      <c r="B25" s="449" t="s">
        <v>278</v>
      </c>
      <c r="C25" s="450">
        <v>12</v>
      </c>
      <c r="D25" s="451">
        <v>8</v>
      </c>
      <c r="E25" s="504">
        <v>1</v>
      </c>
      <c r="F25" s="453">
        <v>4</v>
      </c>
      <c r="G25" s="454">
        <v>3</v>
      </c>
      <c r="H25" s="451">
        <v>14</v>
      </c>
      <c r="I25" s="505">
        <v>0</v>
      </c>
      <c r="J25" s="450">
        <v>10</v>
      </c>
      <c r="K25" s="451">
        <v>4</v>
      </c>
      <c r="L25" s="451">
        <v>0</v>
      </c>
      <c r="M25" s="451">
        <v>2</v>
      </c>
      <c r="N25" s="451">
        <v>12</v>
      </c>
      <c r="O25" s="495">
        <v>0</v>
      </c>
      <c r="P25" s="454">
        <v>1</v>
      </c>
      <c r="Q25" s="451">
        <v>6</v>
      </c>
      <c r="R25" s="454">
        <v>0</v>
      </c>
      <c r="S25" s="451">
        <v>6</v>
      </c>
      <c r="T25" s="451">
        <v>1</v>
      </c>
      <c r="U25" s="454">
        <v>0</v>
      </c>
      <c r="V25" s="505">
        <v>0</v>
      </c>
      <c r="W25" s="451">
        <v>1</v>
      </c>
      <c r="X25" s="451">
        <v>6</v>
      </c>
      <c r="Y25" s="451">
        <v>8</v>
      </c>
      <c r="Z25" s="451">
        <v>3</v>
      </c>
      <c r="AA25" s="454">
        <v>0</v>
      </c>
      <c r="AB25" s="451">
        <v>3</v>
      </c>
      <c r="AC25" s="451">
        <v>2</v>
      </c>
      <c r="AD25" s="506">
        <v>2</v>
      </c>
      <c r="AE25" s="451">
        <v>6</v>
      </c>
      <c r="AF25" s="507">
        <v>0</v>
      </c>
      <c r="AG25" s="451">
        <v>0</v>
      </c>
      <c r="AH25" s="451">
        <v>0</v>
      </c>
      <c r="AI25" s="451">
        <v>1</v>
      </c>
      <c r="AJ25" s="451">
        <v>0</v>
      </c>
      <c r="AK25" s="451">
        <v>2</v>
      </c>
      <c r="AL25" s="451">
        <v>4</v>
      </c>
      <c r="AM25" s="451">
        <v>2</v>
      </c>
      <c r="AN25" s="451">
        <v>2</v>
      </c>
      <c r="AO25" s="451">
        <v>1</v>
      </c>
      <c r="AP25" s="498">
        <v>0</v>
      </c>
      <c r="AQ25" s="451">
        <v>4</v>
      </c>
      <c r="AR25" s="451">
        <v>0</v>
      </c>
      <c r="AS25" s="460">
        <v>2</v>
      </c>
      <c r="AT25" s="461">
        <f t="shared" si="0"/>
        <v>2123.29</v>
      </c>
      <c r="AU25" s="501">
        <f t="shared" si="4"/>
        <v>176.94083333333333</v>
      </c>
      <c r="AV25" s="439">
        <f t="shared" si="1"/>
        <v>106.16</v>
      </c>
      <c r="AW25" s="440">
        <f t="shared" si="2"/>
        <v>151.37</v>
      </c>
      <c r="AX25" s="441">
        <f t="shared" si="3"/>
        <v>2606.2600000000002</v>
      </c>
      <c r="AY25" s="462">
        <f t="shared" si="5"/>
        <v>217.18833333333336</v>
      </c>
      <c r="AZ25" s="443">
        <v>0.05</v>
      </c>
      <c r="BA25" s="444">
        <v>6.7900000000000002E-2</v>
      </c>
      <c r="BB25" s="445">
        <f>'Limpeza Insp Jacarezinho'!H135</f>
        <v>0.05</v>
      </c>
      <c r="BC25" s="446">
        <v>0.05</v>
      </c>
      <c r="BD25" s="445">
        <f>'Limpeza Insp Jacarezinho'!H128</f>
        <v>6.4999999999999997E-3</v>
      </c>
      <c r="BE25" s="446">
        <v>6.4999999999999997E-3</v>
      </c>
      <c r="BF25" s="445">
        <f>'Limpeza Insp Jacarezinho'!H129</f>
        <v>0.03</v>
      </c>
      <c r="BG25" s="446">
        <v>0.03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</row>
    <row r="26" spans="1:109" ht="14">
      <c r="A26" s="823"/>
      <c r="B26" s="449" t="s">
        <v>397</v>
      </c>
      <c r="C26" s="450">
        <v>6</v>
      </c>
      <c r="D26" s="451">
        <v>3</v>
      </c>
      <c r="E26" s="504">
        <v>1</v>
      </c>
      <c r="F26" s="453">
        <v>0</v>
      </c>
      <c r="G26" s="454">
        <v>3</v>
      </c>
      <c r="H26" s="451">
        <v>12</v>
      </c>
      <c r="I26" s="505">
        <v>0</v>
      </c>
      <c r="J26" s="450">
        <v>2</v>
      </c>
      <c r="K26" s="451">
        <v>0</v>
      </c>
      <c r="L26" s="451">
        <v>0</v>
      </c>
      <c r="M26" s="451">
        <v>0</v>
      </c>
      <c r="N26" s="451">
        <v>2</v>
      </c>
      <c r="O26" s="495">
        <v>0</v>
      </c>
      <c r="P26" s="454">
        <v>1</v>
      </c>
      <c r="Q26" s="451">
        <v>2</v>
      </c>
      <c r="R26" s="454">
        <v>1</v>
      </c>
      <c r="S26" s="451">
        <v>1</v>
      </c>
      <c r="T26" s="451">
        <v>1</v>
      </c>
      <c r="U26" s="454">
        <v>0</v>
      </c>
      <c r="V26" s="505">
        <v>0</v>
      </c>
      <c r="W26" s="451">
        <v>1</v>
      </c>
      <c r="X26" s="451">
        <v>0</v>
      </c>
      <c r="Y26" s="451">
        <v>1</v>
      </c>
      <c r="Z26" s="451">
        <v>3</v>
      </c>
      <c r="AA26" s="454">
        <v>0</v>
      </c>
      <c r="AB26" s="451">
        <v>2</v>
      </c>
      <c r="AC26" s="451">
        <v>0</v>
      </c>
      <c r="AD26" s="506">
        <v>1</v>
      </c>
      <c r="AE26" s="451">
        <v>5</v>
      </c>
      <c r="AF26" s="507">
        <v>0</v>
      </c>
      <c r="AG26" s="451">
        <v>0</v>
      </c>
      <c r="AH26" s="451">
        <v>0</v>
      </c>
      <c r="AI26" s="451">
        <v>0</v>
      </c>
      <c r="AJ26" s="451">
        <v>0</v>
      </c>
      <c r="AK26" s="451">
        <v>0</v>
      </c>
      <c r="AL26" s="451">
        <v>0</v>
      </c>
      <c r="AM26" s="451">
        <v>1</v>
      </c>
      <c r="AN26" s="451">
        <v>0</v>
      </c>
      <c r="AO26" s="451">
        <v>0</v>
      </c>
      <c r="AP26" s="498">
        <v>0</v>
      </c>
      <c r="AQ26" s="451">
        <v>5</v>
      </c>
      <c r="AR26" s="451">
        <v>1</v>
      </c>
      <c r="AS26" s="460">
        <v>0</v>
      </c>
      <c r="AT26" s="461">
        <f t="shared" si="0"/>
        <v>1265.28</v>
      </c>
      <c r="AU26" s="501">
        <f t="shared" si="4"/>
        <v>105.44</v>
      </c>
      <c r="AV26" s="439">
        <f t="shared" si="1"/>
        <v>63.26</v>
      </c>
      <c r="AW26" s="440">
        <f t="shared" si="2"/>
        <v>90.2</v>
      </c>
      <c r="AX26" s="441">
        <f t="shared" si="3"/>
        <v>1519.8</v>
      </c>
      <c r="AY26" s="462">
        <f t="shared" si="5"/>
        <v>126.64999999999999</v>
      </c>
      <c r="AZ26" s="443">
        <v>0.05</v>
      </c>
      <c r="BA26" s="444">
        <v>6.7900000000000002E-2</v>
      </c>
      <c r="BB26" s="445">
        <f>'Limpeza Insp Mal Cândido Ron'!H135</f>
        <v>0.03</v>
      </c>
      <c r="BC26" s="446">
        <v>0.03</v>
      </c>
      <c r="BD26" s="445">
        <f>'Limpeza Insp Mal Cândido Ron'!H128</f>
        <v>6.4999999999999997E-3</v>
      </c>
      <c r="BE26" s="446">
        <v>6.4999999999999997E-3</v>
      </c>
      <c r="BF26" s="445">
        <f>'Limpeza Insp Mal Cândido Ron'!H129</f>
        <v>0.03</v>
      </c>
      <c r="BG26" s="446">
        <v>0.03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 ht="14">
      <c r="A27" s="823"/>
      <c r="B27" s="449" t="s">
        <v>237</v>
      </c>
      <c r="C27" s="450">
        <v>1</v>
      </c>
      <c r="D27" s="451">
        <v>4</v>
      </c>
      <c r="E27" s="504">
        <v>1</v>
      </c>
      <c r="F27" s="453">
        <v>0</v>
      </c>
      <c r="G27" s="454">
        <v>3</v>
      </c>
      <c r="H27" s="451">
        <v>11</v>
      </c>
      <c r="I27" s="505">
        <v>0</v>
      </c>
      <c r="J27" s="450">
        <v>10</v>
      </c>
      <c r="K27" s="451">
        <v>6</v>
      </c>
      <c r="L27" s="451">
        <v>1</v>
      </c>
      <c r="M27" s="451">
        <v>0</v>
      </c>
      <c r="N27" s="451">
        <v>5</v>
      </c>
      <c r="O27" s="495">
        <v>0</v>
      </c>
      <c r="P27" s="454">
        <v>0</v>
      </c>
      <c r="Q27" s="451">
        <v>5</v>
      </c>
      <c r="R27" s="454">
        <v>0</v>
      </c>
      <c r="S27" s="451">
        <v>11</v>
      </c>
      <c r="T27" s="451">
        <v>3</v>
      </c>
      <c r="U27" s="454">
        <v>0</v>
      </c>
      <c r="V27" s="505">
        <v>0</v>
      </c>
      <c r="W27" s="451">
        <v>1</v>
      </c>
      <c r="X27" s="451">
        <v>8</v>
      </c>
      <c r="Y27" s="451">
        <v>8</v>
      </c>
      <c r="Z27" s="451">
        <v>2</v>
      </c>
      <c r="AA27" s="454">
        <v>0</v>
      </c>
      <c r="AB27" s="451">
        <v>2</v>
      </c>
      <c r="AC27" s="451">
        <v>0</v>
      </c>
      <c r="AD27" s="506">
        <v>0</v>
      </c>
      <c r="AE27" s="451">
        <v>0</v>
      </c>
      <c r="AF27" s="507">
        <v>0</v>
      </c>
      <c r="AG27" s="451">
        <v>1</v>
      </c>
      <c r="AH27" s="451">
        <v>0</v>
      </c>
      <c r="AI27" s="451">
        <v>0</v>
      </c>
      <c r="AJ27" s="451">
        <v>0</v>
      </c>
      <c r="AK27" s="451">
        <v>0</v>
      </c>
      <c r="AL27" s="451">
        <v>0</v>
      </c>
      <c r="AM27" s="451">
        <v>0</v>
      </c>
      <c r="AN27" s="451">
        <v>4</v>
      </c>
      <c r="AO27" s="451">
        <v>2</v>
      </c>
      <c r="AP27" s="498">
        <v>0</v>
      </c>
      <c r="AQ27" s="451">
        <v>4</v>
      </c>
      <c r="AR27" s="451">
        <v>0</v>
      </c>
      <c r="AS27" s="460">
        <v>0</v>
      </c>
      <c r="AT27" s="461">
        <f t="shared" si="0"/>
        <v>1336.9599999999998</v>
      </c>
      <c r="AU27" s="501">
        <f t="shared" si="4"/>
        <v>111.41333333333331</v>
      </c>
      <c r="AV27" s="439">
        <f t="shared" si="1"/>
        <v>66.84</v>
      </c>
      <c r="AW27" s="440">
        <f t="shared" si="2"/>
        <v>95.31</v>
      </c>
      <c r="AX27" s="441">
        <f t="shared" si="3"/>
        <v>1605.9</v>
      </c>
      <c r="AY27" s="462">
        <f t="shared" si="5"/>
        <v>133.82500000000002</v>
      </c>
      <c r="AZ27" s="443">
        <v>0.05</v>
      </c>
      <c r="BA27" s="444">
        <v>6.7900000000000002E-2</v>
      </c>
      <c r="BB27" s="445">
        <f>'Limpeza Insp Medianeira'!H135</f>
        <v>0.03</v>
      </c>
      <c r="BC27" s="446">
        <v>0.03</v>
      </c>
      <c r="BD27" s="445">
        <f>'Limpeza Insp Medianeira'!H128</f>
        <v>6.4999999999999997E-3</v>
      </c>
      <c r="BE27" s="446">
        <v>6.4999999999999997E-3</v>
      </c>
      <c r="BF27" s="445">
        <f>'Limpeza Insp Medianeira'!H129</f>
        <v>0.03</v>
      </c>
      <c r="BG27" s="446">
        <v>0.03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 ht="14">
      <c r="A28" s="823"/>
      <c r="B28" s="449" t="s">
        <v>238</v>
      </c>
      <c r="C28" s="450">
        <v>5</v>
      </c>
      <c r="D28" s="451">
        <v>5</v>
      </c>
      <c r="E28" s="504">
        <v>1</v>
      </c>
      <c r="F28" s="453">
        <v>1</v>
      </c>
      <c r="G28" s="454">
        <v>3</v>
      </c>
      <c r="H28" s="451">
        <v>6</v>
      </c>
      <c r="I28" s="505">
        <v>0</v>
      </c>
      <c r="J28" s="450">
        <v>5</v>
      </c>
      <c r="K28" s="451">
        <v>0</v>
      </c>
      <c r="L28" s="451">
        <v>1</v>
      </c>
      <c r="M28" s="451">
        <v>1</v>
      </c>
      <c r="N28" s="451">
        <v>5</v>
      </c>
      <c r="O28" s="495">
        <v>0</v>
      </c>
      <c r="P28" s="454">
        <v>6</v>
      </c>
      <c r="Q28" s="451">
        <v>0</v>
      </c>
      <c r="R28" s="454">
        <v>3</v>
      </c>
      <c r="S28" s="451">
        <v>6</v>
      </c>
      <c r="T28" s="451">
        <v>4</v>
      </c>
      <c r="U28" s="454">
        <v>1</v>
      </c>
      <c r="V28" s="505">
        <v>0</v>
      </c>
      <c r="W28" s="451">
        <v>1</v>
      </c>
      <c r="X28" s="451">
        <v>0</v>
      </c>
      <c r="Y28" s="451">
        <v>3</v>
      </c>
      <c r="Z28" s="451">
        <v>2</v>
      </c>
      <c r="AA28" s="454">
        <v>0</v>
      </c>
      <c r="AB28" s="451">
        <v>1</v>
      </c>
      <c r="AC28" s="451">
        <v>1</v>
      </c>
      <c r="AD28" s="506">
        <v>0</v>
      </c>
      <c r="AE28" s="451">
        <v>4</v>
      </c>
      <c r="AF28" s="507">
        <v>0</v>
      </c>
      <c r="AG28" s="451">
        <v>0</v>
      </c>
      <c r="AH28" s="451">
        <v>1</v>
      </c>
      <c r="AI28" s="451">
        <v>1</v>
      </c>
      <c r="AJ28" s="451">
        <v>0</v>
      </c>
      <c r="AK28" s="451">
        <v>1</v>
      </c>
      <c r="AL28" s="451">
        <v>0</v>
      </c>
      <c r="AM28" s="451">
        <v>2</v>
      </c>
      <c r="AN28" s="451">
        <v>4</v>
      </c>
      <c r="AO28" s="451">
        <v>0</v>
      </c>
      <c r="AP28" s="498">
        <v>0</v>
      </c>
      <c r="AQ28" s="451">
        <v>3</v>
      </c>
      <c r="AR28" s="451">
        <v>0</v>
      </c>
      <c r="AS28" s="460">
        <v>2</v>
      </c>
      <c r="AT28" s="461">
        <f t="shared" si="0"/>
        <v>1309.5999999999999</v>
      </c>
      <c r="AU28" s="501">
        <f t="shared" si="4"/>
        <v>109.13333333333333</v>
      </c>
      <c r="AV28" s="439">
        <f t="shared" si="1"/>
        <v>65.48</v>
      </c>
      <c r="AW28" s="440">
        <f t="shared" si="2"/>
        <v>93.36</v>
      </c>
      <c r="AX28" s="441">
        <f t="shared" si="3"/>
        <v>1573.04</v>
      </c>
      <c r="AY28" s="462">
        <f t="shared" si="5"/>
        <v>131.08666666666667</v>
      </c>
      <c r="AZ28" s="443">
        <v>0.05</v>
      </c>
      <c r="BA28" s="444">
        <v>6.7900000000000002E-2</v>
      </c>
      <c r="BB28" s="445">
        <f>'Limpeza Insp Palmas'!H135</f>
        <v>0.03</v>
      </c>
      <c r="BC28" s="446">
        <v>0.03</v>
      </c>
      <c r="BD28" s="445">
        <f>'Limpeza Insp Palmas'!H128</f>
        <v>6.4999999999999997E-3</v>
      </c>
      <c r="BE28" s="446">
        <v>6.4999999999999997E-3</v>
      </c>
      <c r="BF28" s="445">
        <f>'Limpeza Insp Palmas'!H129</f>
        <v>0.03</v>
      </c>
      <c r="BG28" s="446">
        <v>0.03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</row>
    <row r="29" spans="1:109" ht="14">
      <c r="A29" s="823"/>
      <c r="B29" s="449" t="s">
        <v>239</v>
      </c>
      <c r="C29" s="450">
        <v>3</v>
      </c>
      <c r="D29" s="451">
        <v>2</v>
      </c>
      <c r="E29" s="504">
        <v>1</v>
      </c>
      <c r="F29" s="453">
        <v>0</v>
      </c>
      <c r="G29" s="454">
        <v>3</v>
      </c>
      <c r="H29" s="451">
        <v>2</v>
      </c>
      <c r="I29" s="505">
        <v>0</v>
      </c>
      <c r="J29" s="450">
        <v>2</v>
      </c>
      <c r="K29" s="451">
        <v>0</v>
      </c>
      <c r="L29" s="451">
        <v>0</v>
      </c>
      <c r="M29" s="451">
        <v>0</v>
      </c>
      <c r="N29" s="451">
        <v>4</v>
      </c>
      <c r="O29" s="495">
        <v>0</v>
      </c>
      <c r="P29" s="454">
        <v>0</v>
      </c>
      <c r="Q29" s="451">
        <v>0</v>
      </c>
      <c r="R29" s="454">
        <v>0</v>
      </c>
      <c r="S29" s="451">
        <v>2</v>
      </c>
      <c r="T29" s="451">
        <v>1</v>
      </c>
      <c r="U29" s="454">
        <v>0</v>
      </c>
      <c r="V29" s="505">
        <v>0</v>
      </c>
      <c r="W29" s="451">
        <v>1</v>
      </c>
      <c r="X29" s="451">
        <v>5</v>
      </c>
      <c r="Y29" s="451">
        <v>5</v>
      </c>
      <c r="Z29" s="451">
        <v>3</v>
      </c>
      <c r="AA29" s="454">
        <v>0</v>
      </c>
      <c r="AB29" s="451">
        <v>3</v>
      </c>
      <c r="AC29" s="451">
        <v>1</v>
      </c>
      <c r="AD29" s="506">
        <v>0</v>
      </c>
      <c r="AE29" s="451">
        <v>1</v>
      </c>
      <c r="AF29" s="507">
        <v>0</v>
      </c>
      <c r="AG29" s="451">
        <v>0</v>
      </c>
      <c r="AH29" s="451">
        <v>0</v>
      </c>
      <c r="AI29" s="451">
        <v>0</v>
      </c>
      <c r="AJ29" s="451">
        <v>0</v>
      </c>
      <c r="AK29" s="451">
        <v>0</v>
      </c>
      <c r="AL29" s="451">
        <v>2</v>
      </c>
      <c r="AM29" s="451">
        <v>2</v>
      </c>
      <c r="AN29" s="451">
        <v>2</v>
      </c>
      <c r="AO29" s="451">
        <v>0</v>
      </c>
      <c r="AP29" s="498">
        <v>0</v>
      </c>
      <c r="AQ29" s="451">
        <v>3</v>
      </c>
      <c r="AR29" s="451">
        <v>0</v>
      </c>
      <c r="AS29" s="460">
        <v>0</v>
      </c>
      <c r="AT29" s="461">
        <f t="shared" si="0"/>
        <v>1322.3999999999996</v>
      </c>
      <c r="AU29" s="501">
        <f t="shared" si="4"/>
        <v>110.19999999999997</v>
      </c>
      <c r="AV29" s="439">
        <f t="shared" si="1"/>
        <v>66.12</v>
      </c>
      <c r="AW29" s="440">
        <f t="shared" si="2"/>
        <v>94.28</v>
      </c>
      <c r="AX29" s="441">
        <f t="shared" si="3"/>
        <v>1623.2</v>
      </c>
      <c r="AY29" s="462">
        <f t="shared" si="5"/>
        <v>135.26666666666668</v>
      </c>
      <c r="AZ29" s="443">
        <v>0.05</v>
      </c>
      <c r="BA29" s="444">
        <v>6.7900000000000002E-2</v>
      </c>
      <c r="BB29" s="445">
        <f>'Limpeza Insp Paranaguá'!H135</f>
        <v>0.05</v>
      </c>
      <c r="BC29" s="446">
        <v>0.05</v>
      </c>
      <c r="BD29" s="445">
        <f>'Limpeza Insp Paranaguá'!H128</f>
        <v>6.4999999999999997E-3</v>
      </c>
      <c r="BE29" s="446">
        <v>6.4999999999999997E-3</v>
      </c>
      <c r="BF29" s="445">
        <f>'Limpeza Insp Paranaguá'!H129</f>
        <v>0.03</v>
      </c>
      <c r="BG29" s="446">
        <v>0.03</v>
      </c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 ht="14">
      <c r="A30" s="823"/>
      <c r="B30" s="449" t="s">
        <v>240</v>
      </c>
      <c r="C30" s="450">
        <v>12</v>
      </c>
      <c r="D30" s="451">
        <v>8</v>
      </c>
      <c r="E30" s="504">
        <v>1</v>
      </c>
      <c r="F30" s="453">
        <v>4</v>
      </c>
      <c r="G30" s="454">
        <v>4</v>
      </c>
      <c r="H30" s="451">
        <v>12</v>
      </c>
      <c r="I30" s="505">
        <v>0</v>
      </c>
      <c r="J30" s="450">
        <v>4</v>
      </c>
      <c r="K30" s="451">
        <v>1</v>
      </c>
      <c r="L30" s="451">
        <v>0</v>
      </c>
      <c r="M30" s="451">
        <v>0</v>
      </c>
      <c r="N30" s="451">
        <v>9</v>
      </c>
      <c r="O30" s="495">
        <v>0</v>
      </c>
      <c r="P30" s="454">
        <v>8</v>
      </c>
      <c r="Q30" s="451">
        <v>6</v>
      </c>
      <c r="R30" s="454">
        <v>2</v>
      </c>
      <c r="S30" s="451">
        <v>12</v>
      </c>
      <c r="T30" s="451">
        <v>6</v>
      </c>
      <c r="U30" s="454">
        <v>1</v>
      </c>
      <c r="V30" s="505">
        <v>0</v>
      </c>
      <c r="W30" s="451">
        <v>1</v>
      </c>
      <c r="X30" s="451">
        <v>0</v>
      </c>
      <c r="Y30" s="451">
        <v>4</v>
      </c>
      <c r="Z30" s="451">
        <v>2</v>
      </c>
      <c r="AA30" s="454">
        <v>4</v>
      </c>
      <c r="AB30" s="451">
        <v>3</v>
      </c>
      <c r="AC30" s="451">
        <v>0</v>
      </c>
      <c r="AD30" s="506">
        <v>0</v>
      </c>
      <c r="AE30" s="451">
        <v>5</v>
      </c>
      <c r="AF30" s="507">
        <v>0</v>
      </c>
      <c r="AG30" s="451">
        <v>1</v>
      </c>
      <c r="AH30" s="451">
        <v>1</v>
      </c>
      <c r="AI30" s="451">
        <v>0</v>
      </c>
      <c r="AJ30" s="451">
        <v>0</v>
      </c>
      <c r="AK30" s="451">
        <v>0</v>
      </c>
      <c r="AL30" s="451">
        <v>4</v>
      </c>
      <c r="AM30" s="451">
        <v>0</v>
      </c>
      <c r="AN30" s="451">
        <v>0</v>
      </c>
      <c r="AO30" s="451">
        <v>0</v>
      </c>
      <c r="AP30" s="498">
        <v>0</v>
      </c>
      <c r="AQ30" s="451">
        <v>3</v>
      </c>
      <c r="AR30" s="451">
        <v>0</v>
      </c>
      <c r="AS30" s="460">
        <v>2</v>
      </c>
      <c r="AT30" s="461">
        <f t="shared" si="0"/>
        <v>1821.0300000000004</v>
      </c>
      <c r="AU30" s="501">
        <f t="shared" si="4"/>
        <v>151.75250000000003</v>
      </c>
      <c r="AV30" s="439">
        <f t="shared" si="1"/>
        <v>91.05</v>
      </c>
      <c r="AW30" s="440">
        <f t="shared" si="2"/>
        <v>129.83000000000001</v>
      </c>
      <c r="AX30" s="441">
        <f t="shared" si="3"/>
        <v>2211.0500000000002</v>
      </c>
      <c r="AY30" s="462">
        <f t="shared" si="5"/>
        <v>184.25416666666669</v>
      </c>
      <c r="AZ30" s="443">
        <v>0.05</v>
      </c>
      <c r="BA30" s="444">
        <v>6.7900000000000002E-2</v>
      </c>
      <c r="BB30" s="445">
        <f>'Limpeza Insp Paranavaí'!H135</f>
        <v>0.04</v>
      </c>
      <c r="BC30" s="446">
        <v>0.04</v>
      </c>
      <c r="BD30" s="445">
        <f>'Limpeza Insp Paranavaí'!H128</f>
        <v>6.4999999999999997E-3</v>
      </c>
      <c r="BE30" s="446">
        <v>6.4999999999999997E-3</v>
      </c>
      <c r="BF30" s="445">
        <f>'Limpeza Insp Paranavaí'!H129</f>
        <v>0.03</v>
      </c>
      <c r="BG30" s="446">
        <v>0.03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</row>
    <row r="31" spans="1:109" ht="14">
      <c r="A31" s="823"/>
      <c r="B31" s="449" t="s">
        <v>441</v>
      </c>
      <c r="C31" s="450">
        <v>6</v>
      </c>
      <c r="D31" s="451">
        <v>6</v>
      </c>
      <c r="E31" s="504">
        <v>1</v>
      </c>
      <c r="F31" s="453">
        <v>0</v>
      </c>
      <c r="G31" s="454">
        <v>15</v>
      </c>
      <c r="H31" s="451">
        <v>6</v>
      </c>
      <c r="I31" s="505">
        <v>0</v>
      </c>
      <c r="J31" s="450">
        <v>5</v>
      </c>
      <c r="K31" s="451">
        <v>6</v>
      </c>
      <c r="L31" s="451">
        <v>1</v>
      </c>
      <c r="M31" s="451">
        <v>0</v>
      </c>
      <c r="N31" s="451">
        <v>6</v>
      </c>
      <c r="O31" s="495">
        <v>0</v>
      </c>
      <c r="P31" s="454">
        <v>8</v>
      </c>
      <c r="Q31" s="451">
        <v>0</v>
      </c>
      <c r="R31" s="454">
        <v>5</v>
      </c>
      <c r="S31" s="451">
        <v>10</v>
      </c>
      <c r="T31" s="451">
        <v>1</v>
      </c>
      <c r="U31" s="454">
        <v>1</v>
      </c>
      <c r="V31" s="505">
        <v>1</v>
      </c>
      <c r="W31" s="451">
        <v>1</v>
      </c>
      <c r="X31" s="451">
        <v>0</v>
      </c>
      <c r="Y31" s="451">
        <v>4</v>
      </c>
      <c r="Z31" s="451">
        <v>2</v>
      </c>
      <c r="AA31" s="454">
        <v>0</v>
      </c>
      <c r="AB31" s="451">
        <v>0</v>
      </c>
      <c r="AC31" s="451">
        <v>0</v>
      </c>
      <c r="AD31" s="506">
        <v>1</v>
      </c>
      <c r="AE31" s="451">
        <v>0</v>
      </c>
      <c r="AF31" s="507">
        <v>1</v>
      </c>
      <c r="AG31" s="451">
        <v>0</v>
      </c>
      <c r="AH31" s="451">
        <v>0</v>
      </c>
      <c r="AI31" s="451">
        <v>1</v>
      </c>
      <c r="AJ31" s="451">
        <v>0</v>
      </c>
      <c r="AK31" s="451">
        <v>3</v>
      </c>
      <c r="AL31" s="451">
        <v>0</v>
      </c>
      <c r="AM31" s="451">
        <v>3</v>
      </c>
      <c r="AN31" s="451">
        <v>0</v>
      </c>
      <c r="AO31" s="451">
        <v>2</v>
      </c>
      <c r="AP31" s="498">
        <v>0</v>
      </c>
      <c r="AQ31" s="451">
        <v>4</v>
      </c>
      <c r="AR31" s="451">
        <v>0</v>
      </c>
      <c r="AS31" s="460">
        <v>0</v>
      </c>
      <c r="AT31" s="461">
        <f t="shared" si="0"/>
        <v>1569.28</v>
      </c>
      <c r="AU31" s="501">
        <f t="shared" si="4"/>
        <v>130.77333333333334</v>
      </c>
      <c r="AV31" s="439">
        <f t="shared" si="1"/>
        <v>78.459999999999994</v>
      </c>
      <c r="AW31" s="440">
        <f t="shared" si="2"/>
        <v>111.88</v>
      </c>
      <c r="AX31" s="441">
        <f t="shared" si="3"/>
        <v>1926.23</v>
      </c>
      <c r="AY31" s="462">
        <f t="shared" si="5"/>
        <v>160.51916666666668</v>
      </c>
      <c r="AZ31" s="443">
        <v>0.05</v>
      </c>
      <c r="BA31" s="444">
        <v>6.7900000000000002E-2</v>
      </c>
      <c r="BB31" s="445">
        <f>'Limpeza Água Verde '!H135</f>
        <v>0.05</v>
      </c>
      <c r="BC31" s="446">
        <v>0.05</v>
      </c>
      <c r="BD31" s="445">
        <f>'Limpeza Água Verde '!H128</f>
        <v>6.4999999999999997E-3</v>
      </c>
      <c r="BE31" s="446">
        <v>6.4999999999999997E-3</v>
      </c>
      <c r="BF31" s="445">
        <f>'Limpeza Água Verde '!H129</f>
        <v>0.03</v>
      </c>
      <c r="BG31" s="446">
        <v>0.03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</row>
    <row r="32" spans="1:109" ht="14">
      <c r="A32" s="823"/>
      <c r="B32" s="449" t="s">
        <v>241</v>
      </c>
      <c r="C32" s="450">
        <v>0</v>
      </c>
      <c r="D32" s="451">
        <v>5</v>
      </c>
      <c r="E32" s="504">
        <v>1</v>
      </c>
      <c r="F32" s="453">
        <v>1</v>
      </c>
      <c r="G32" s="454">
        <v>3</v>
      </c>
      <c r="H32" s="451">
        <v>3</v>
      </c>
      <c r="I32" s="505">
        <v>0</v>
      </c>
      <c r="J32" s="450">
        <v>2</v>
      </c>
      <c r="K32" s="451">
        <v>0</v>
      </c>
      <c r="L32" s="451">
        <v>1</v>
      </c>
      <c r="M32" s="451">
        <v>0</v>
      </c>
      <c r="N32" s="451">
        <v>6</v>
      </c>
      <c r="O32" s="495">
        <v>0</v>
      </c>
      <c r="P32" s="454">
        <v>1</v>
      </c>
      <c r="Q32" s="451">
        <v>0</v>
      </c>
      <c r="R32" s="454">
        <v>3</v>
      </c>
      <c r="S32" s="451">
        <v>5</v>
      </c>
      <c r="T32" s="451">
        <v>4</v>
      </c>
      <c r="U32" s="454">
        <v>0</v>
      </c>
      <c r="V32" s="505">
        <v>0</v>
      </c>
      <c r="W32" s="451">
        <v>1</v>
      </c>
      <c r="X32" s="451">
        <v>1</v>
      </c>
      <c r="Y32" s="451">
        <v>4</v>
      </c>
      <c r="Z32" s="451">
        <v>2</v>
      </c>
      <c r="AA32" s="454">
        <v>3</v>
      </c>
      <c r="AB32" s="451">
        <v>1</v>
      </c>
      <c r="AC32" s="451">
        <v>0</v>
      </c>
      <c r="AD32" s="506">
        <v>0</v>
      </c>
      <c r="AE32" s="451">
        <v>1</v>
      </c>
      <c r="AF32" s="507">
        <v>0</v>
      </c>
      <c r="AG32" s="451">
        <v>0</v>
      </c>
      <c r="AH32" s="451">
        <v>0</v>
      </c>
      <c r="AI32" s="451">
        <v>0</v>
      </c>
      <c r="AJ32" s="451">
        <v>0</v>
      </c>
      <c r="AK32" s="451">
        <v>0</v>
      </c>
      <c r="AL32" s="451">
        <v>0</v>
      </c>
      <c r="AM32" s="451">
        <v>2</v>
      </c>
      <c r="AN32" s="451">
        <v>0</v>
      </c>
      <c r="AO32" s="451">
        <v>3</v>
      </c>
      <c r="AP32" s="498">
        <v>0</v>
      </c>
      <c r="AQ32" s="451">
        <v>4</v>
      </c>
      <c r="AR32" s="451">
        <v>0</v>
      </c>
      <c r="AS32" s="460">
        <v>0</v>
      </c>
      <c r="AT32" s="461">
        <f t="shared" si="0"/>
        <v>1212.1400000000001</v>
      </c>
      <c r="AU32" s="501">
        <f t="shared" si="4"/>
        <v>101.01166666666667</v>
      </c>
      <c r="AV32" s="439">
        <f t="shared" si="1"/>
        <v>60.6</v>
      </c>
      <c r="AW32" s="440">
        <f t="shared" si="2"/>
        <v>86.41</v>
      </c>
      <c r="AX32" s="441">
        <f t="shared" si="3"/>
        <v>1455.97</v>
      </c>
      <c r="AY32" s="462">
        <f t="shared" si="5"/>
        <v>121.33083333333333</v>
      </c>
      <c r="AZ32" s="443">
        <v>0.05</v>
      </c>
      <c r="BA32" s="444">
        <v>6.7900000000000002E-2</v>
      </c>
      <c r="BB32" s="445">
        <f>'Limpeza Insp Realeza'!H135</f>
        <v>0.03</v>
      </c>
      <c r="BC32" s="446">
        <v>0.03</v>
      </c>
      <c r="BD32" s="445">
        <f>'Limpeza Insp Realeza'!H128</f>
        <v>6.4999999999999997E-3</v>
      </c>
      <c r="BE32" s="446">
        <v>6.4999999999999997E-3</v>
      </c>
      <c r="BF32" s="445">
        <f>'Limpeza Insp Realeza'!H129</f>
        <v>0.03</v>
      </c>
      <c r="BG32" s="446">
        <v>0.03</v>
      </c>
      <c r="BH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 ht="14">
      <c r="A33" s="823"/>
      <c r="B33" s="449" t="s">
        <v>242</v>
      </c>
      <c r="C33" s="450">
        <v>5</v>
      </c>
      <c r="D33" s="451">
        <v>2</v>
      </c>
      <c r="E33" s="504">
        <v>1</v>
      </c>
      <c r="F33" s="453">
        <v>1</v>
      </c>
      <c r="G33" s="454">
        <v>5</v>
      </c>
      <c r="H33" s="451">
        <v>3</v>
      </c>
      <c r="I33" s="505">
        <v>0</v>
      </c>
      <c r="J33" s="450">
        <v>4</v>
      </c>
      <c r="K33" s="451">
        <v>1</v>
      </c>
      <c r="L33" s="451">
        <v>1</v>
      </c>
      <c r="M33" s="451">
        <v>2</v>
      </c>
      <c r="N33" s="451">
        <v>2</v>
      </c>
      <c r="O33" s="495">
        <v>0</v>
      </c>
      <c r="P33" s="454">
        <v>3</v>
      </c>
      <c r="Q33" s="451">
        <v>2</v>
      </c>
      <c r="R33" s="454">
        <v>3</v>
      </c>
      <c r="S33" s="451">
        <v>0</v>
      </c>
      <c r="T33" s="451">
        <v>2</v>
      </c>
      <c r="U33" s="454">
        <v>0</v>
      </c>
      <c r="V33" s="505">
        <v>1</v>
      </c>
      <c r="W33" s="451">
        <v>1</v>
      </c>
      <c r="X33" s="451">
        <v>1</v>
      </c>
      <c r="Y33" s="451">
        <v>5</v>
      </c>
      <c r="Z33" s="451">
        <v>2</v>
      </c>
      <c r="AA33" s="454">
        <v>0</v>
      </c>
      <c r="AB33" s="451">
        <v>0</v>
      </c>
      <c r="AC33" s="451">
        <v>0</v>
      </c>
      <c r="AD33" s="506">
        <v>0</v>
      </c>
      <c r="AE33" s="451">
        <v>0</v>
      </c>
      <c r="AF33" s="507">
        <v>1</v>
      </c>
      <c r="AG33" s="451">
        <v>0</v>
      </c>
      <c r="AH33" s="451">
        <v>0</v>
      </c>
      <c r="AI33" s="451">
        <v>1</v>
      </c>
      <c r="AJ33" s="451">
        <v>0</v>
      </c>
      <c r="AK33" s="451">
        <v>2</v>
      </c>
      <c r="AL33" s="451">
        <v>0</v>
      </c>
      <c r="AM33" s="451">
        <v>0</v>
      </c>
      <c r="AN33" s="451">
        <v>0</v>
      </c>
      <c r="AO33" s="451">
        <v>1</v>
      </c>
      <c r="AP33" s="498">
        <v>0</v>
      </c>
      <c r="AQ33" s="451">
        <v>3</v>
      </c>
      <c r="AR33" s="451">
        <v>0</v>
      </c>
      <c r="AS33" s="460">
        <v>1</v>
      </c>
      <c r="AT33" s="461">
        <f t="shared" si="0"/>
        <v>1101.6400000000001</v>
      </c>
      <c r="AU33" s="501">
        <f t="shared" si="4"/>
        <v>91.803333333333342</v>
      </c>
      <c r="AV33" s="439">
        <f t="shared" si="1"/>
        <v>55.08</v>
      </c>
      <c r="AW33" s="440">
        <f t="shared" si="2"/>
        <v>78.540000000000006</v>
      </c>
      <c r="AX33" s="441">
        <f t="shared" si="3"/>
        <v>1323.25</v>
      </c>
      <c r="AY33" s="462">
        <f t="shared" si="5"/>
        <v>110.27083333333333</v>
      </c>
      <c r="AZ33" s="443">
        <v>0.05</v>
      </c>
      <c r="BA33" s="444">
        <v>6.7900000000000002E-2</v>
      </c>
      <c r="BB33" s="445">
        <f>'Limpeza Insp Rio Negro'!H135</f>
        <v>0.03</v>
      </c>
      <c r="BC33" s="446">
        <v>0.03</v>
      </c>
      <c r="BD33" s="445">
        <f>'Limpeza Insp Rio Negro'!H128</f>
        <v>6.4999999999999997E-3</v>
      </c>
      <c r="BE33" s="446">
        <v>6.4999999999999997E-3</v>
      </c>
      <c r="BF33" s="445">
        <f>'Limpeza Insp Rio Negro'!H129</f>
        <v>0.03</v>
      </c>
      <c r="BG33" s="446">
        <v>0.03</v>
      </c>
      <c r="BH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</row>
    <row r="34" spans="1:109" ht="14">
      <c r="A34" s="823"/>
      <c r="B34" s="449" t="s">
        <v>398</v>
      </c>
      <c r="C34" s="450">
        <v>6</v>
      </c>
      <c r="D34" s="451">
        <v>12</v>
      </c>
      <c r="E34" s="504">
        <v>1</v>
      </c>
      <c r="F34" s="453">
        <v>0</v>
      </c>
      <c r="G34" s="454">
        <v>3</v>
      </c>
      <c r="H34" s="451">
        <v>12</v>
      </c>
      <c r="I34" s="505">
        <v>0</v>
      </c>
      <c r="J34" s="450">
        <v>8</v>
      </c>
      <c r="K34" s="451">
        <v>4</v>
      </c>
      <c r="L34" s="451">
        <v>0</v>
      </c>
      <c r="M34" s="451">
        <v>0</v>
      </c>
      <c r="N34" s="451">
        <v>8</v>
      </c>
      <c r="O34" s="495">
        <v>0</v>
      </c>
      <c r="P34" s="454">
        <v>6</v>
      </c>
      <c r="Q34" s="451">
        <v>0</v>
      </c>
      <c r="R34" s="454">
        <v>4</v>
      </c>
      <c r="S34" s="451">
        <v>0</v>
      </c>
      <c r="T34" s="451">
        <v>4</v>
      </c>
      <c r="U34" s="454">
        <v>0</v>
      </c>
      <c r="V34" s="505">
        <v>0</v>
      </c>
      <c r="W34" s="451">
        <v>1</v>
      </c>
      <c r="X34" s="451">
        <v>8</v>
      </c>
      <c r="Y34" s="451">
        <v>12</v>
      </c>
      <c r="Z34" s="451">
        <v>2</v>
      </c>
      <c r="AA34" s="454">
        <v>2</v>
      </c>
      <c r="AB34" s="451">
        <v>3</v>
      </c>
      <c r="AC34" s="451">
        <v>1</v>
      </c>
      <c r="AD34" s="506">
        <v>4</v>
      </c>
      <c r="AE34" s="451">
        <v>6</v>
      </c>
      <c r="AF34" s="507">
        <v>0</v>
      </c>
      <c r="AG34" s="451">
        <v>2</v>
      </c>
      <c r="AH34" s="451">
        <v>4</v>
      </c>
      <c r="AI34" s="451">
        <v>5</v>
      </c>
      <c r="AJ34" s="451">
        <v>2</v>
      </c>
      <c r="AK34" s="451">
        <v>2</v>
      </c>
      <c r="AL34" s="451">
        <v>2</v>
      </c>
      <c r="AM34" s="451">
        <v>2</v>
      </c>
      <c r="AN34" s="451">
        <v>2</v>
      </c>
      <c r="AO34" s="451">
        <v>0</v>
      </c>
      <c r="AP34" s="498">
        <v>0</v>
      </c>
      <c r="AQ34" s="451">
        <v>3</v>
      </c>
      <c r="AR34" s="451">
        <v>1</v>
      </c>
      <c r="AS34" s="460">
        <v>2</v>
      </c>
      <c r="AT34" s="461">
        <f t="shared" si="0"/>
        <v>2303.3300000000008</v>
      </c>
      <c r="AU34" s="501">
        <f t="shared" si="4"/>
        <v>191.94416666666675</v>
      </c>
      <c r="AV34" s="439">
        <f t="shared" si="1"/>
        <v>115.16</v>
      </c>
      <c r="AW34" s="440">
        <f t="shared" si="2"/>
        <v>164.21</v>
      </c>
      <c r="AX34" s="441">
        <f t="shared" si="3"/>
        <v>2766.68</v>
      </c>
      <c r="AY34" s="462">
        <f t="shared" si="5"/>
        <v>230.55666666666664</v>
      </c>
      <c r="AZ34" s="443">
        <v>0.05</v>
      </c>
      <c r="BA34" s="444">
        <v>6.7900000000000002E-2</v>
      </c>
      <c r="BB34" s="445">
        <f>'Limpeza Insp Sto Ant Platina'!H135</f>
        <v>0.03</v>
      </c>
      <c r="BC34" s="446">
        <v>0.03</v>
      </c>
      <c r="BD34" s="445">
        <f>'Limpeza Insp Sto Ant Platina'!H128</f>
        <v>6.4999999999999997E-3</v>
      </c>
      <c r="BE34" s="446">
        <v>6.4999999999999997E-3</v>
      </c>
      <c r="BF34" s="445">
        <f>'Limpeza Insp Sto Ant Platina'!H129</f>
        <v>0.03</v>
      </c>
      <c r="BG34" s="446">
        <v>0.03</v>
      </c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</row>
    <row r="35" spans="1:109" ht="14">
      <c r="A35" s="823"/>
      <c r="B35" s="449" t="s">
        <v>244</v>
      </c>
      <c r="C35" s="450">
        <v>5</v>
      </c>
      <c r="D35" s="451">
        <v>8</v>
      </c>
      <c r="E35" s="504">
        <v>1</v>
      </c>
      <c r="F35" s="453">
        <v>0</v>
      </c>
      <c r="G35" s="454">
        <v>3</v>
      </c>
      <c r="H35" s="451">
        <v>12</v>
      </c>
      <c r="I35" s="505">
        <v>0</v>
      </c>
      <c r="J35" s="450">
        <v>5</v>
      </c>
      <c r="K35" s="451">
        <v>0</v>
      </c>
      <c r="L35" s="451">
        <v>0</v>
      </c>
      <c r="M35" s="451">
        <v>0</v>
      </c>
      <c r="N35" s="451">
        <v>8</v>
      </c>
      <c r="O35" s="495">
        <v>0</v>
      </c>
      <c r="P35" s="454">
        <v>6</v>
      </c>
      <c r="Q35" s="451">
        <v>8</v>
      </c>
      <c r="R35" s="454">
        <v>0</v>
      </c>
      <c r="S35" s="451">
        <v>12</v>
      </c>
      <c r="T35" s="451">
        <v>1</v>
      </c>
      <c r="U35" s="454">
        <v>0</v>
      </c>
      <c r="V35" s="505">
        <v>1</v>
      </c>
      <c r="W35" s="451">
        <v>1</v>
      </c>
      <c r="X35" s="451">
        <v>8</v>
      </c>
      <c r="Y35" s="451">
        <v>8</v>
      </c>
      <c r="Z35" s="451">
        <v>2</v>
      </c>
      <c r="AA35" s="454">
        <v>0</v>
      </c>
      <c r="AB35" s="451">
        <v>0</v>
      </c>
      <c r="AC35" s="451">
        <v>1</v>
      </c>
      <c r="AD35" s="506">
        <v>2</v>
      </c>
      <c r="AE35" s="451">
        <v>6</v>
      </c>
      <c r="AF35" s="507">
        <v>1</v>
      </c>
      <c r="AG35" s="451">
        <v>1</v>
      </c>
      <c r="AH35" s="451">
        <v>0</v>
      </c>
      <c r="AI35" s="451">
        <v>2</v>
      </c>
      <c r="AJ35" s="451">
        <v>0</v>
      </c>
      <c r="AK35" s="451">
        <v>0</v>
      </c>
      <c r="AL35" s="451">
        <v>4</v>
      </c>
      <c r="AM35" s="451">
        <v>0</v>
      </c>
      <c r="AN35" s="451">
        <v>4</v>
      </c>
      <c r="AO35" s="451">
        <v>0</v>
      </c>
      <c r="AP35" s="498">
        <v>0</v>
      </c>
      <c r="AQ35" s="451">
        <v>4</v>
      </c>
      <c r="AR35" s="451">
        <v>0</v>
      </c>
      <c r="AS35" s="460">
        <v>1</v>
      </c>
      <c r="AT35" s="461">
        <f t="shared" si="0"/>
        <v>1715.3900000000003</v>
      </c>
      <c r="AU35" s="501">
        <f t="shared" si="4"/>
        <v>142.94916666666668</v>
      </c>
      <c r="AV35" s="439">
        <f t="shared" si="1"/>
        <v>85.76</v>
      </c>
      <c r="AW35" s="440">
        <f t="shared" si="2"/>
        <v>122.29</v>
      </c>
      <c r="AX35" s="441">
        <f t="shared" si="3"/>
        <v>2105.5700000000002</v>
      </c>
      <c r="AY35" s="462">
        <f t="shared" si="5"/>
        <v>175.46416666666667</v>
      </c>
      <c r="AZ35" s="443">
        <v>0.05</v>
      </c>
      <c r="BA35" s="444">
        <v>6.7900000000000002E-2</v>
      </c>
      <c r="BB35" s="445">
        <f>'Limpeza Insp São José Pinhais'!H135</f>
        <v>0.05</v>
      </c>
      <c r="BC35" s="446">
        <v>0.05</v>
      </c>
      <c r="BD35" s="445">
        <f>'Limpeza Insp São José Pinhais'!H128</f>
        <v>6.4999999999999997E-3</v>
      </c>
      <c r="BE35" s="446">
        <v>6.4999999999999997E-3</v>
      </c>
      <c r="BF35" s="445">
        <f>'Limpeza Insp São José Pinhais'!H129</f>
        <v>0.03</v>
      </c>
      <c r="BG35" s="446">
        <v>0.03</v>
      </c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</row>
    <row r="36" spans="1:109" ht="14">
      <c r="A36" s="823"/>
      <c r="B36" s="449" t="s">
        <v>245</v>
      </c>
      <c r="C36" s="450">
        <v>5</v>
      </c>
      <c r="D36" s="451">
        <v>2</v>
      </c>
      <c r="E36" s="504">
        <v>1</v>
      </c>
      <c r="F36" s="453">
        <v>2</v>
      </c>
      <c r="G36" s="454">
        <v>3</v>
      </c>
      <c r="H36" s="451">
        <v>5</v>
      </c>
      <c r="I36" s="505">
        <v>0</v>
      </c>
      <c r="J36" s="450">
        <v>2</v>
      </c>
      <c r="K36" s="451">
        <v>0</v>
      </c>
      <c r="L36" s="451">
        <v>0</v>
      </c>
      <c r="M36" s="451">
        <v>3</v>
      </c>
      <c r="N36" s="451">
        <v>2</v>
      </c>
      <c r="O36" s="495">
        <v>0</v>
      </c>
      <c r="P36" s="454">
        <v>3</v>
      </c>
      <c r="Q36" s="451">
        <v>5</v>
      </c>
      <c r="R36" s="454">
        <v>1</v>
      </c>
      <c r="S36" s="451">
        <v>0</v>
      </c>
      <c r="T36" s="451">
        <v>1</v>
      </c>
      <c r="U36" s="454">
        <v>1</v>
      </c>
      <c r="V36" s="505">
        <v>0</v>
      </c>
      <c r="W36" s="451">
        <v>1</v>
      </c>
      <c r="X36" s="451">
        <v>0</v>
      </c>
      <c r="Y36" s="451">
        <v>4</v>
      </c>
      <c r="Z36" s="451">
        <v>3</v>
      </c>
      <c r="AA36" s="454">
        <v>0</v>
      </c>
      <c r="AB36" s="451">
        <v>1</v>
      </c>
      <c r="AC36" s="451">
        <v>0</v>
      </c>
      <c r="AD36" s="506">
        <v>0</v>
      </c>
      <c r="AE36" s="451">
        <v>1</v>
      </c>
      <c r="AF36" s="507">
        <v>0</v>
      </c>
      <c r="AG36" s="451">
        <v>0</v>
      </c>
      <c r="AH36" s="451">
        <v>0</v>
      </c>
      <c r="AI36" s="451">
        <v>2</v>
      </c>
      <c r="AJ36" s="451">
        <v>0</v>
      </c>
      <c r="AK36" s="451">
        <v>1</v>
      </c>
      <c r="AL36" s="451">
        <v>0</v>
      </c>
      <c r="AM36" s="451">
        <v>2</v>
      </c>
      <c r="AN36" s="451">
        <v>0</v>
      </c>
      <c r="AO36" s="451">
        <v>2</v>
      </c>
      <c r="AP36" s="498">
        <v>0</v>
      </c>
      <c r="AQ36" s="451">
        <v>3</v>
      </c>
      <c r="AR36" s="451">
        <v>0</v>
      </c>
      <c r="AS36" s="460">
        <v>1</v>
      </c>
      <c r="AT36" s="461">
        <f t="shared" si="0"/>
        <v>1288.1199999999999</v>
      </c>
      <c r="AU36" s="501">
        <f t="shared" si="4"/>
        <v>107.34333333333332</v>
      </c>
      <c r="AV36" s="439">
        <f t="shared" si="1"/>
        <v>64.400000000000006</v>
      </c>
      <c r="AW36" s="440">
        <f t="shared" si="2"/>
        <v>91.83</v>
      </c>
      <c r="AX36" s="441">
        <f t="shared" si="3"/>
        <v>1581.11</v>
      </c>
      <c r="AY36" s="462">
        <f t="shared" si="5"/>
        <v>131.75916666666666</v>
      </c>
      <c r="AZ36" s="443">
        <v>0.05</v>
      </c>
      <c r="BA36" s="444">
        <v>6.7900000000000002E-2</v>
      </c>
      <c r="BB36" s="445">
        <f>'Limpeza Insp Telêmaco Borba'!H135</f>
        <v>0.05</v>
      </c>
      <c r="BC36" s="446">
        <v>0.05</v>
      </c>
      <c r="BD36" s="445">
        <f>'Limpeza Insp Telêmaco Borba'!H128</f>
        <v>6.4999999999999997E-3</v>
      </c>
      <c r="BE36" s="446">
        <v>6.4999999999999997E-3</v>
      </c>
      <c r="BF36" s="445">
        <f>'Limpeza Insp Telêmaco Borba'!H129</f>
        <v>0.03</v>
      </c>
      <c r="BG36" s="446">
        <v>0.03</v>
      </c>
      <c r="BH36"/>
      <c r="BI36"/>
      <c r="BJ36"/>
      <c r="BK36" s="508"/>
      <c r="BL36" s="508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</row>
    <row r="37" spans="1:109" ht="14">
      <c r="A37" s="823"/>
      <c r="B37" s="449" t="s">
        <v>246</v>
      </c>
      <c r="C37" s="450">
        <v>4</v>
      </c>
      <c r="D37" s="451">
        <v>3</v>
      </c>
      <c r="E37" s="504">
        <v>1</v>
      </c>
      <c r="F37" s="453">
        <v>0</v>
      </c>
      <c r="G37" s="454">
        <v>3</v>
      </c>
      <c r="H37" s="451">
        <v>16</v>
      </c>
      <c r="I37" s="505">
        <v>0</v>
      </c>
      <c r="J37" s="450">
        <v>2</v>
      </c>
      <c r="K37" s="451">
        <v>1</v>
      </c>
      <c r="L37" s="451">
        <v>3</v>
      </c>
      <c r="M37" s="451">
        <v>0</v>
      </c>
      <c r="N37" s="451">
        <v>2</v>
      </c>
      <c r="O37" s="495">
        <v>0</v>
      </c>
      <c r="P37" s="454">
        <v>0</v>
      </c>
      <c r="Q37" s="451">
        <v>2</v>
      </c>
      <c r="R37" s="454">
        <v>1</v>
      </c>
      <c r="S37" s="451">
        <v>12</v>
      </c>
      <c r="T37" s="451">
        <v>1</v>
      </c>
      <c r="U37" s="454">
        <v>0</v>
      </c>
      <c r="V37" s="505">
        <v>0</v>
      </c>
      <c r="W37" s="451">
        <v>1</v>
      </c>
      <c r="X37" s="451">
        <v>6</v>
      </c>
      <c r="Y37" s="451">
        <v>6</v>
      </c>
      <c r="Z37" s="451">
        <v>2</v>
      </c>
      <c r="AA37" s="454">
        <v>0</v>
      </c>
      <c r="AB37" s="451">
        <v>3</v>
      </c>
      <c r="AC37" s="451">
        <v>0</v>
      </c>
      <c r="AD37" s="506">
        <v>4</v>
      </c>
      <c r="AE37" s="451">
        <v>6</v>
      </c>
      <c r="AF37" s="507">
        <v>0</v>
      </c>
      <c r="AG37" s="451">
        <v>1</v>
      </c>
      <c r="AH37" s="451">
        <v>0</v>
      </c>
      <c r="AI37" s="451">
        <v>2</v>
      </c>
      <c r="AJ37" s="451">
        <v>0</v>
      </c>
      <c r="AK37" s="451">
        <v>0</v>
      </c>
      <c r="AL37" s="451">
        <v>0</v>
      </c>
      <c r="AM37" s="451">
        <v>0</v>
      </c>
      <c r="AN37" s="451">
        <v>0</v>
      </c>
      <c r="AO37" s="451">
        <v>6</v>
      </c>
      <c r="AP37" s="498">
        <v>0</v>
      </c>
      <c r="AQ37" s="451">
        <v>3</v>
      </c>
      <c r="AR37" s="451">
        <v>0</v>
      </c>
      <c r="AS37" s="460">
        <v>1</v>
      </c>
      <c r="AT37" s="461">
        <f t="shared" si="0"/>
        <v>1399.3999999999999</v>
      </c>
      <c r="AU37" s="501">
        <f t="shared" si="4"/>
        <v>116.61666666666666</v>
      </c>
      <c r="AV37" s="439">
        <f t="shared" si="1"/>
        <v>69.97</v>
      </c>
      <c r="AW37" s="440">
        <f t="shared" si="2"/>
        <v>99.77</v>
      </c>
      <c r="AX37" s="441">
        <f t="shared" si="3"/>
        <v>1680.92</v>
      </c>
      <c r="AY37" s="462">
        <f t="shared" si="5"/>
        <v>140.07666666666668</v>
      </c>
      <c r="AZ37" s="443">
        <v>0.05</v>
      </c>
      <c r="BA37" s="444">
        <v>6.7900000000000002E-2</v>
      </c>
      <c r="BB37" s="445">
        <f>'Limpeza Insp Toledo'!H135</f>
        <v>0.03</v>
      </c>
      <c r="BC37" s="446">
        <v>0.03</v>
      </c>
      <c r="BD37" s="445">
        <f>'Limpeza Insp Toledo'!H128</f>
        <v>6.4999999999999997E-3</v>
      </c>
      <c r="BE37" s="446">
        <v>6.4999999999999997E-3</v>
      </c>
      <c r="BF37" s="445">
        <f>'Limpeza Insp Toledo'!H129</f>
        <v>0.03</v>
      </c>
      <c r="BG37" s="446">
        <v>0.03</v>
      </c>
      <c r="BH37"/>
      <c r="BI37"/>
      <c r="BJ37" s="463"/>
      <c r="BK37" s="463"/>
      <c r="BL37" s="463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 ht="14">
      <c r="A38" s="823"/>
      <c r="B38" s="449" t="s">
        <v>247</v>
      </c>
      <c r="C38" s="450">
        <v>16</v>
      </c>
      <c r="D38" s="451">
        <v>10</v>
      </c>
      <c r="E38" s="504">
        <v>1</v>
      </c>
      <c r="F38" s="453">
        <v>0</v>
      </c>
      <c r="G38" s="454">
        <v>3</v>
      </c>
      <c r="H38" s="451">
        <v>16</v>
      </c>
      <c r="I38" s="505">
        <v>0</v>
      </c>
      <c r="J38" s="450">
        <v>12</v>
      </c>
      <c r="K38" s="451">
        <v>0</v>
      </c>
      <c r="L38" s="451">
        <v>2</v>
      </c>
      <c r="M38" s="451">
        <v>2</v>
      </c>
      <c r="N38" s="451">
        <v>8</v>
      </c>
      <c r="O38" s="495">
        <v>0</v>
      </c>
      <c r="P38" s="454">
        <v>0</v>
      </c>
      <c r="Q38" s="451">
        <v>5</v>
      </c>
      <c r="R38" s="454">
        <v>0</v>
      </c>
      <c r="S38" s="451">
        <v>6</v>
      </c>
      <c r="T38" s="451">
        <v>1</v>
      </c>
      <c r="U38" s="454">
        <v>0</v>
      </c>
      <c r="V38" s="505">
        <v>0</v>
      </c>
      <c r="W38" s="451">
        <v>1</v>
      </c>
      <c r="X38" s="451">
        <v>2</v>
      </c>
      <c r="Y38" s="451">
        <v>6</v>
      </c>
      <c r="Z38" s="451">
        <v>2</v>
      </c>
      <c r="AA38" s="454">
        <v>0</v>
      </c>
      <c r="AB38" s="451">
        <v>3</v>
      </c>
      <c r="AC38" s="451">
        <v>2</v>
      </c>
      <c r="AD38" s="506">
        <v>2</v>
      </c>
      <c r="AE38" s="451">
        <v>4</v>
      </c>
      <c r="AF38" s="507">
        <v>0</v>
      </c>
      <c r="AG38" s="451">
        <v>0</v>
      </c>
      <c r="AH38" s="451">
        <v>0</v>
      </c>
      <c r="AI38" s="451">
        <v>3</v>
      </c>
      <c r="AJ38" s="451">
        <v>0</v>
      </c>
      <c r="AK38" s="451">
        <v>0</v>
      </c>
      <c r="AL38" s="451">
        <v>0</v>
      </c>
      <c r="AM38" s="451">
        <v>1</v>
      </c>
      <c r="AN38" s="451">
        <v>4</v>
      </c>
      <c r="AO38" s="451">
        <v>3</v>
      </c>
      <c r="AP38" s="498">
        <v>0</v>
      </c>
      <c r="AQ38" s="451">
        <v>4</v>
      </c>
      <c r="AR38" s="451">
        <v>0</v>
      </c>
      <c r="AS38" s="460">
        <v>1</v>
      </c>
      <c r="AT38" s="461">
        <f t="shared" si="0"/>
        <v>1524.81</v>
      </c>
      <c r="AU38" s="501">
        <f t="shared" si="4"/>
        <v>127.0675</v>
      </c>
      <c r="AV38" s="439">
        <f t="shared" si="1"/>
        <v>76.239999999999995</v>
      </c>
      <c r="AW38" s="440">
        <f t="shared" si="2"/>
        <v>108.71</v>
      </c>
      <c r="AX38" s="441">
        <f t="shared" si="3"/>
        <v>1871.65</v>
      </c>
      <c r="AY38" s="462">
        <f t="shared" si="5"/>
        <v>155.97083333333333</v>
      </c>
      <c r="AZ38" s="443">
        <v>0.05</v>
      </c>
      <c r="BA38" s="444">
        <v>6.7900000000000002E-2</v>
      </c>
      <c r="BB38" s="445">
        <f>'Limpeza Insp Umuarama'!H135</f>
        <v>0.05</v>
      </c>
      <c r="BC38" s="446">
        <v>0.05</v>
      </c>
      <c r="BD38" s="445">
        <f>'Limpeza Insp Umuarama'!H128</f>
        <v>6.4999999999999997E-3</v>
      </c>
      <c r="BE38" s="446">
        <v>6.4999999999999997E-3</v>
      </c>
      <c r="BF38" s="445">
        <f>'Limpeza Insp Umuarama'!H129</f>
        <v>0.03</v>
      </c>
      <c r="BG38" s="446">
        <v>0.03</v>
      </c>
      <c r="BH38"/>
      <c r="BI38"/>
      <c r="BJ38"/>
      <c r="BK38"/>
      <c r="BL38" s="509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</row>
    <row r="39" spans="1:109" ht="14.5" thickBot="1">
      <c r="A39" s="823"/>
      <c r="B39" s="510" t="s">
        <v>248</v>
      </c>
      <c r="C39" s="511">
        <v>12</v>
      </c>
      <c r="D39" s="481">
        <v>12</v>
      </c>
      <c r="E39" s="512">
        <v>1</v>
      </c>
      <c r="F39" s="478">
        <v>0</v>
      </c>
      <c r="G39" s="479">
        <v>4</v>
      </c>
      <c r="H39" s="481">
        <v>2</v>
      </c>
      <c r="I39" s="494">
        <v>0</v>
      </c>
      <c r="J39" s="511">
        <v>2</v>
      </c>
      <c r="K39" s="481">
        <v>2</v>
      </c>
      <c r="L39" s="481">
        <v>0</v>
      </c>
      <c r="M39" s="481">
        <v>2</v>
      </c>
      <c r="N39" s="481">
        <v>8</v>
      </c>
      <c r="O39" s="513">
        <v>0</v>
      </c>
      <c r="P39" s="479">
        <v>3</v>
      </c>
      <c r="Q39" s="481">
        <v>4</v>
      </c>
      <c r="R39" s="479">
        <v>5</v>
      </c>
      <c r="S39" s="481">
        <v>12</v>
      </c>
      <c r="T39" s="481">
        <v>1</v>
      </c>
      <c r="U39" s="479">
        <v>2</v>
      </c>
      <c r="V39" s="513">
        <v>0</v>
      </c>
      <c r="W39" s="481">
        <v>1</v>
      </c>
      <c r="X39" s="481">
        <v>2</v>
      </c>
      <c r="Y39" s="481">
        <v>8</v>
      </c>
      <c r="Z39" s="481">
        <v>2</v>
      </c>
      <c r="AA39" s="479">
        <v>0</v>
      </c>
      <c r="AB39" s="481">
        <v>3</v>
      </c>
      <c r="AC39" s="481">
        <v>0</v>
      </c>
      <c r="AD39" s="514">
        <v>4</v>
      </c>
      <c r="AE39" s="481">
        <v>6</v>
      </c>
      <c r="AF39" s="497">
        <v>0</v>
      </c>
      <c r="AG39" s="481">
        <v>0</v>
      </c>
      <c r="AH39" s="481">
        <v>2</v>
      </c>
      <c r="AI39" s="481">
        <v>2</v>
      </c>
      <c r="AJ39" s="481">
        <v>2</v>
      </c>
      <c r="AK39" s="481">
        <v>0</v>
      </c>
      <c r="AL39" s="481">
        <v>0</v>
      </c>
      <c r="AM39" s="481">
        <v>4</v>
      </c>
      <c r="AN39" s="481">
        <v>4</v>
      </c>
      <c r="AO39" s="481">
        <v>8</v>
      </c>
      <c r="AP39" s="515">
        <v>0</v>
      </c>
      <c r="AQ39" s="481">
        <v>4</v>
      </c>
      <c r="AR39" s="481">
        <v>0</v>
      </c>
      <c r="AS39" s="516">
        <v>3</v>
      </c>
      <c r="AT39" s="517">
        <f t="shared" si="0"/>
        <v>1915.05</v>
      </c>
      <c r="AU39" s="501">
        <f t="shared" si="4"/>
        <v>159.58750000000001</v>
      </c>
      <c r="AV39" s="439">
        <f t="shared" si="1"/>
        <v>95.75</v>
      </c>
      <c r="AW39" s="440">
        <f t="shared" si="2"/>
        <v>136.53</v>
      </c>
      <c r="AX39" s="518">
        <f t="shared" si="3"/>
        <v>2288.04</v>
      </c>
      <c r="AY39" s="519">
        <f t="shared" si="5"/>
        <v>190.67</v>
      </c>
      <c r="AZ39" s="443">
        <v>0.05</v>
      </c>
      <c r="BA39" s="444">
        <v>6.7900000000000002E-2</v>
      </c>
      <c r="BB39" s="445">
        <f>'Limpeza Insp União Vitória'!H135</f>
        <v>2.5000000000000001E-2</v>
      </c>
      <c r="BC39" s="446">
        <v>2.5000000000000001E-2</v>
      </c>
      <c r="BD39" s="445">
        <f>'Limpeza Insp União Vitória'!H128</f>
        <v>6.4999999999999997E-3</v>
      </c>
      <c r="BE39" s="446">
        <v>6.4999999999999997E-3</v>
      </c>
      <c r="BF39" s="445">
        <f>'Limpeza Insp União Vitória'!H129</f>
        <v>0.03</v>
      </c>
      <c r="BG39" s="446">
        <v>0.03</v>
      </c>
      <c r="BH39"/>
      <c r="BI39"/>
      <c r="BJ39"/>
      <c r="BK39"/>
      <c r="BL39" s="463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</row>
    <row r="40" spans="1:109" ht="14">
      <c r="A40" s="813" t="s">
        <v>452</v>
      </c>
      <c r="B40" s="814"/>
      <c r="C40" s="520">
        <f>SUM(C4:C39)</f>
        <v>1186</v>
      </c>
      <c r="D40" s="521">
        <f>SUM(D4:D39)</f>
        <v>802</v>
      </c>
      <c r="E40" s="522">
        <f>SUM(E4:E39)</f>
        <v>45</v>
      </c>
      <c r="F40" s="520">
        <f>SUM(F4:F39)</f>
        <v>261</v>
      </c>
      <c r="G40" s="520">
        <f t="shared" ref="G40:AA40" si="6">SUM(G4:G39)</f>
        <v>959</v>
      </c>
      <c r="H40" s="521">
        <f t="shared" ref="H40:T40" si="7">SUM(H4:H39)</f>
        <v>811</v>
      </c>
      <c r="I40" s="522">
        <f t="shared" si="7"/>
        <v>23</v>
      </c>
      <c r="J40" s="520">
        <f t="shared" si="7"/>
        <v>642</v>
      </c>
      <c r="K40" s="521">
        <f t="shared" si="7"/>
        <v>105</v>
      </c>
      <c r="L40" s="521">
        <f t="shared" si="7"/>
        <v>58</v>
      </c>
      <c r="M40" s="521">
        <f t="shared" si="7"/>
        <v>95</v>
      </c>
      <c r="N40" s="521">
        <f t="shared" si="7"/>
        <v>523</v>
      </c>
      <c r="O40" s="523">
        <f t="shared" si="7"/>
        <v>18</v>
      </c>
      <c r="P40" s="520">
        <f t="shared" si="7"/>
        <v>299</v>
      </c>
      <c r="Q40" s="521">
        <f t="shared" si="7"/>
        <v>290</v>
      </c>
      <c r="R40" s="520">
        <f t="shared" si="7"/>
        <v>533</v>
      </c>
      <c r="S40" s="521">
        <f t="shared" si="7"/>
        <v>937</v>
      </c>
      <c r="T40" s="521">
        <f t="shared" si="7"/>
        <v>153</v>
      </c>
      <c r="U40" s="520">
        <f t="shared" si="6"/>
        <v>122</v>
      </c>
      <c r="V40" s="523">
        <f>SUM(V4:V39)</f>
        <v>37</v>
      </c>
      <c r="W40" s="521">
        <f>SUM(W4:W39)</f>
        <v>57</v>
      </c>
      <c r="X40" s="521">
        <f>SUM(X4:X39)</f>
        <v>175</v>
      </c>
      <c r="Y40" s="521">
        <f>SUM(Y4:Y39)</f>
        <v>767</v>
      </c>
      <c r="Z40" s="521">
        <f>SUM(Z4:Z39)</f>
        <v>229</v>
      </c>
      <c r="AA40" s="520">
        <f t="shared" si="6"/>
        <v>114</v>
      </c>
      <c r="AB40" s="521">
        <f t="shared" ref="AB40:AG40" si="8">SUM(AB4:AB39)</f>
        <v>237</v>
      </c>
      <c r="AC40" s="521">
        <f t="shared" si="8"/>
        <v>95</v>
      </c>
      <c r="AD40" s="524">
        <f t="shared" si="8"/>
        <v>295</v>
      </c>
      <c r="AE40" s="521">
        <f t="shared" si="8"/>
        <v>540</v>
      </c>
      <c r="AF40" s="522">
        <f t="shared" si="8"/>
        <v>37</v>
      </c>
      <c r="AG40" s="521">
        <f t="shared" si="8"/>
        <v>51</v>
      </c>
      <c r="AH40" s="521">
        <f t="shared" ref="AH40:AS40" si="9">SUM(AH4:AH39)</f>
        <v>69</v>
      </c>
      <c r="AI40" s="521">
        <f t="shared" si="9"/>
        <v>219</v>
      </c>
      <c r="AJ40" s="521">
        <f>SUM(AJ4:AJ39)</f>
        <v>81</v>
      </c>
      <c r="AK40" s="521">
        <f>SUM(AK4:AK39)</f>
        <v>59</v>
      </c>
      <c r="AL40" s="521">
        <f>SUM(AL4:AL39)</f>
        <v>153</v>
      </c>
      <c r="AM40" s="521">
        <f>SUM(AM4:AM39)</f>
        <v>58</v>
      </c>
      <c r="AN40" s="521">
        <f>SUM(AN4:AN39)</f>
        <v>134</v>
      </c>
      <c r="AO40" s="521">
        <f t="shared" si="9"/>
        <v>296</v>
      </c>
      <c r="AP40" s="522">
        <f>SUM(AP4:AP39)</f>
        <v>18</v>
      </c>
      <c r="AQ40" s="521">
        <f>SUM(AQ4:AQ39)</f>
        <v>538</v>
      </c>
      <c r="AR40" s="521">
        <f>SUM(AR4:AR39)</f>
        <v>34</v>
      </c>
      <c r="AS40" s="525">
        <f t="shared" si="9"/>
        <v>78</v>
      </c>
      <c r="AT40" s="526">
        <f>SUM(G42:AS42)</f>
        <v>168032.71000000002</v>
      </c>
      <c r="AU40" s="527">
        <f>SUM(AU4:AU39)</f>
        <v>15224.07166666667</v>
      </c>
      <c r="AV40" s="528"/>
      <c r="AW40" s="529"/>
      <c r="AX40" s="834">
        <f>SUM(AX4:AX39)</f>
        <v>222083.28000000003</v>
      </c>
      <c r="AY40" s="834">
        <f>SUM(AY4:AY39)</f>
        <v>18506.939999999999</v>
      </c>
      <c r="AZ40" s="530"/>
      <c r="BA40" s="530"/>
      <c r="BB40" s="531"/>
      <c r="BC40" s="531"/>
      <c r="BD40" s="531"/>
      <c r="BE40" s="531"/>
      <c r="BF40" s="532"/>
      <c r="BG40" s="532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</row>
    <row r="41" spans="1:109" ht="14">
      <c r="A41" s="815" t="s">
        <v>453</v>
      </c>
      <c r="B41" s="816"/>
      <c r="C41" s="299">
        <v>3.79</v>
      </c>
      <c r="D41" s="299">
        <v>9.3000000000000007</v>
      </c>
      <c r="E41" s="301">
        <v>36.799999999999997</v>
      </c>
      <c r="F41" s="299">
        <v>4.01</v>
      </c>
      <c r="G41" s="299">
        <v>5.99</v>
      </c>
      <c r="H41" s="299">
        <v>7.29</v>
      </c>
      <c r="I41" s="301">
        <v>12.49</v>
      </c>
      <c r="J41" s="299">
        <v>2.78</v>
      </c>
      <c r="K41" s="299">
        <v>16.989999999999998</v>
      </c>
      <c r="L41" s="299">
        <v>23.42</v>
      </c>
      <c r="M41" s="299">
        <v>3.02</v>
      </c>
      <c r="N41" s="299">
        <v>4.3</v>
      </c>
      <c r="O41" s="300">
        <v>16.73</v>
      </c>
      <c r="P41" s="299">
        <v>5.99</v>
      </c>
      <c r="Q41" s="299">
        <v>4.99</v>
      </c>
      <c r="R41" s="299">
        <v>4.99</v>
      </c>
      <c r="S41" s="299">
        <v>6.49</v>
      </c>
      <c r="T41" s="299">
        <v>9.1</v>
      </c>
      <c r="U41" s="299">
        <v>10.5</v>
      </c>
      <c r="V41" s="301">
        <v>79.27</v>
      </c>
      <c r="W41" s="299">
        <v>26.01</v>
      </c>
      <c r="X41" s="299">
        <v>10.69</v>
      </c>
      <c r="Y41" s="299">
        <v>6.18</v>
      </c>
      <c r="Z41" s="299">
        <v>253.08</v>
      </c>
      <c r="AA41" s="299">
        <v>68.650000000000006</v>
      </c>
      <c r="AB41" s="299">
        <v>15.9</v>
      </c>
      <c r="AC41" s="299">
        <v>17.670000000000002</v>
      </c>
      <c r="AD41" s="299">
        <v>10</v>
      </c>
      <c r="AE41" s="299">
        <v>15.99</v>
      </c>
      <c r="AF41" s="301">
        <v>15.14</v>
      </c>
      <c r="AG41" s="299">
        <v>25.9</v>
      </c>
      <c r="AH41" s="299">
        <v>13.2</v>
      </c>
      <c r="AI41" s="299">
        <v>15.94</v>
      </c>
      <c r="AJ41" s="299">
        <v>96.5</v>
      </c>
      <c r="AK41" s="299">
        <v>53.9</v>
      </c>
      <c r="AL41" s="299">
        <v>45.66</v>
      </c>
      <c r="AM41" s="299">
        <v>34.9</v>
      </c>
      <c r="AN41" s="299">
        <v>20.9</v>
      </c>
      <c r="AO41" s="299">
        <v>10.9</v>
      </c>
      <c r="AP41" s="299">
        <v>38.9</v>
      </c>
      <c r="AQ41" s="299">
        <v>8.1199999999999992</v>
      </c>
      <c r="AR41" s="299">
        <v>33</v>
      </c>
      <c r="AS41" s="401">
        <v>17</v>
      </c>
      <c r="AT41" s="533"/>
      <c r="AU41" s="534"/>
      <c r="AV41" s="528"/>
      <c r="AW41" s="530"/>
      <c r="AX41" s="835"/>
      <c r="AY41" s="835"/>
      <c r="AZ41" s="530"/>
      <c r="BA41" s="530"/>
      <c r="BB41" s="530"/>
      <c r="BC41" s="530"/>
      <c r="BD41" s="530"/>
      <c r="BE41" s="530"/>
      <c r="BF41"/>
      <c r="BG41"/>
      <c r="BH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</row>
    <row r="42" spans="1:109" ht="14.5" thickBot="1">
      <c r="A42" s="817" t="s">
        <v>394</v>
      </c>
      <c r="B42" s="818"/>
      <c r="C42" s="535">
        <f>SUM(C40*C41)</f>
        <v>4494.9399999999996</v>
      </c>
      <c r="D42" s="536">
        <f>SUM(D40*D41)</f>
        <v>7458.6</v>
      </c>
      <c r="E42" s="537">
        <f>SUM(E40*E41)</f>
        <v>1655.9999999999998</v>
      </c>
      <c r="F42" s="535">
        <f>SUM(F40*F41)</f>
        <v>1046.6099999999999</v>
      </c>
      <c r="G42" s="535">
        <f t="shared" ref="G42:AA42" si="10">SUM(G40*G41)</f>
        <v>5744.41</v>
      </c>
      <c r="H42" s="536">
        <f t="shared" ref="H42:T42" si="11">SUM(H40*H41)</f>
        <v>5912.19</v>
      </c>
      <c r="I42" s="537">
        <f t="shared" si="11"/>
        <v>287.27</v>
      </c>
      <c r="J42" s="536">
        <f t="shared" si="11"/>
        <v>1784.7599999999998</v>
      </c>
      <c r="K42" s="536">
        <f t="shared" si="11"/>
        <v>1783.9499999999998</v>
      </c>
      <c r="L42" s="536">
        <f t="shared" si="11"/>
        <v>1358.3600000000001</v>
      </c>
      <c r="M42" s="536">
        <f t="shared" si="11"/>
        <v>286.89999999999998</v>
      </c>
      <c r="N42" s="536">
        <f t="shared" si="11"/>
        <v>2248.9</v>
      </c>
      <c r="O42" s="538">
        <f t="shared" si="11"/>
        <v>301.14</v>
      </c>
      <c r="P42" s="535">
        <f t="shared" si="11"/>
        <v>1791.01</v>
      </c>
      <c r="Q42" s="536">
        <f t="shared" si="11"/>
        <v>1447.1000000000001</v>
      </c>
      <c r="R42" s="535">
        <f t="shared" si="11"/>
        <v>2659.67</v>
      </c>
      <c r="S42" s="536">
        <f t="shared" si="11"/>
        <v>6081.13</v>
      </c>
      <c r="T42" s="536">
        <f t="shared" si="11"/>
        <v>1392.3</v>
      </c>
      <c r="U42" s="535">
        <f t="shared" si="10"/>
        <v>1281</v>
      </c>
      <c r="V42" s="538">
        <f>SUM(V40*V41)</f>
        <v>2932.99</v>
      </c>
      <c r="W42" s="536">
        <f>SUM(W40*W41)</f>
        <v>1482.5700000000002</v>
      </c>
      <c r="X42" s="536">
        <f>SUM(X40*X41)</f>
        <v>1870.75</v>
      </c>
      <c r="Y42" s="536">
        <f>SUM(Y40*Y41)</f>
        <v>4740.0599999999995</v>
      </c>
      <c r="Z42" s="536">
        <f>SUM(Z40*Z41)</f>
        <v>57955.32</v>
      </c>
      <c r="AA42" s="535">
        <f t="shared" si="10"/>
        <v>7826.1</v>
      </c>
      <c r="AB42" s="536">
        <f t="shared" ref="AB42:AG42" si="12">SUM(AB40*AB41)</f>
        <v>3768.3</v>
      </c>
      <c r="AC42" s="536">
        <f t="shared" si="12"/>
        <v>1678.65</v>
      </c>
      <c r="AD42" s="536">
        <f t="shared" si="12"/>
        <v>2950</v>
      </c>
      <c r="AE42" s="536">
        <f t="shared" si="12"/>
        <v>8634.6</v>
      </c>
      <c r="AF42" s="536">
        <f t="shared" si="12"/>
        <v>560.18000000000006</v>
      </c>
      <c r="AG42" s="536">
        <f t="shared" si="12"/>
        <v>1320.8999999999999</v>
      </c>
      <c r="AH42" s="536">
        <f t="shared" ref="AH42:AS42" si="13">SUM(AH40*AH41)</f>
        <v>910.8</v>
      </c>
      <c r="AI42" s="536">
        <f t="shared" si="13"/>
        <v>3490.8599999999997</v>
      </c>
      <c r="AJ42" s="536">
        <f>SUM(AJ40*AJ41)</f>
        <v>7816.5</v>
      </c>
      <c r="AK42" s="536">
        <f>SUM(AK40*AK41)</f>
        <v>3180.1</v>
      </c>
      <c r="AL42" s="536">
        <f>SUM(AL40*AL41)</f>
        <v>6985.98</v>
      </c>
      <c r="AM42" s="536">
        <f>SUM(AM40*AM41)</f>
        <v>2024.1999999999998</v>
      </c>
      <c r="AN42" s="536">
        <f>SUM(AN40*AN41)</f>
        <v>2800.6</v>
      </c>
      <c r="AO42" s="536">
        <f t="shared" si="13"/>
        <v>3226.4</v>
      </c>
      <c r="AP42" s="536">
        <f>SUM(AP40*AP41)</f>
        <v>700.19999999999993</v>
      </c>
      <c r="AQ42" s="536">
        <f>SUM(AQ40*AQ41)</f>
        <v>4368.5599999999995</v>
      </c>
      <c r="AR42" s="536">
        <f>SUM(AR40*AR41)</f>
        <v>1122</v>
      </c>
      <c r="AS42" s="539">
        <f t="shared" si="13"/>
        <v>1326</v>
      </c>
      <c r="AT42" s="540"/>
      <c r="AU42" s="541"/>
      <c r="AV42" s="528"/>
      <c r="AW42" s="542"/>
      <c r="AX42" s="836"/>
      <c r="AY42" s="836"/>
      <c r="AZ42" s="530"/>
      <c r="BA42" s="530"/>
      <c r="BB42" s="530"/>
      <c r="BC42" s="530"/>
      <c r="BD42" s="530"/>
      <c r="BE42" s="530"/>
      <c r="BF42"/>
      <c r="BG42"/>
      <c r="BH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</row>
    <row r="43" spans="1:109">
      <c r="E43"/>
      <c r="I43"/>
      <c r="O43"/>
      <c r="V43"/>
      <c r="AF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</row>
    <row r="44" spans="1:109" s="132" customFormat="1">
      <c r="E44" s="543"/>
      <c r="F44"/>
      <c r="G44"/>
      <c r="I44" s="543"/>
      <c r="O44" s="543"/>
      <c r="P44"/>
      <c r="R44"/>
      <c r="U44"/>
      <c r="V44" s="543"/>
      <c r="AA44"/>
      <c r="AF44" s="543"/>
      <c r="AV44"/>
      <c r="AW44"/>
      <c r="AX44"/>
      <c r="AY44"/>
    </row>
    <row r="45" spans="1:109" s="132" customFormat="1">
      <c r="E45" s="543"/>
      <c r="F45"/>
      <c r="G45"/>
      <c r="I45" s="543"/>
      <c r="O45" s="543"/>
      <c r="P45"/>
      <c r="R45"/>
      <c r="U45"/>
      <c r="V45" s="543"/>
      <c r="AA45"/>
      <c r="AF45" s="543"/>
      <c r="AV45"/>
      <c r="AW45"/>
      <c r="AX45"/>
      <c r="AY45"/>
    </row>
    <row r="46" spans="1:109" s="132" customFormat="1">
      <c r="E46" s="543"/>
      <c r="F46"/>
      <c r="G46"/>
      <c r="I46" s="543"/>
      <c r="O46" s="543"/>
      <c r="P46"/>
      <c r="R46"/>
      <c r="U46"/>
      <c r="V46" s="543"/>
      <c r="AA46"/>
      <c r="AF46" s="543"/>
      <c r="AV46"/>
      <c r="AW46"/>
      <c r="AX46"/>
      <c r="AY46"/>
    </row>
    <row r="47" spans="1:109" s="132" customFormat="1">
      <c r="E47" s="543"/>
      <c r="F47"/>
      <c r="G47"/>
      <c r="I47" s="543"/>
      <c r="O47" s="543"/>
      <c r="P47"/>
      <c r="R47"/>
      <c r="U47"/>
      <c r="V47" s="543"/>
      <c r="AA47"/>
      <c r="AF47" s="543"/>
      <c r="AV47"/>
      <c r="AW47"/>
      <c r="AX47"/>
      <c r="AY47"/>
    </row>
    <row r="48" spans="1:109" s="132" customFormat="1">
      <c r="E48" s="543"/>
      <c r="F48"/>
      <c r="G48"/>
      <c r="I48" s="543"/>
      <c r="O48" s="543"/>
      <c r="P48"/>
      <c r="R48"/>
      <c r="U48"/>
      <c r="V48" s="543"/>
      <c r="AA48"/>
      <c r="AF48" s="543"/>
      <c r="AV48"/>
      <c r="AW48"/>
      <c r="AX48"/>
      <c r="AY48"/>
    </row>
    <row r="49" spans="5:51" s="132" customFormat="1">
      <c r="E49" s="543"/>
      <c r="F49"/>
      <c r="G49"/>
      <c r="I49" s="543"/>
      <c r="O49" s="543"/>
      <c r="P49"/>
      <c r="R49"/>
      <c r="U49"/>
      <c r="V49" s="543"/>
      <c r="AA49"/>
      <c r="AF49" s="543"/>
      <c r="AV49"/>
      <c r="AW49"/>
      <c r="AX49"/>
      <c r="AY49"/>
    </row>
    <row r="50" spans="5:51" s="132" customFormat="1">
      <c r="E50" s="543"/>
      <c r="F50"/>
      <c r="G50"/>
      <c r="I50" s="543"/>
      <c r="O50" s="543"/>
      <c r="P50"/>
      <c r="R50"/>
      <c r="U50"/>
      <c r="V50" s="543"/>
      <c r="AA50"/>
      <c r="AF50" s="543"/>
      <c r="AV50"/>
      <c r="AW50"/>
      <c r="AX50"/>
      <c r="AY50"/>
    </row>
    <row r="51" spans="5:51" s="132" customFormat="1">
      <c r="E51" s="543"/>
      <c r="F51"/>
      <c r="G51"/>
      <c r="I51" s="543"/>
      <c r="O51" s="543"/>
      <c r="P51"/>
      <c r="R51"/>
      <c r="U51"/>
      <c r="V51" s="543"/>
      <c r="AA51"/>
      <c r="AF51" s="543"/>
      <c r="AV51"/>
      <c r="AW51"/>
      <c r="AX51"/>
      <c r="AY51"/>
    </row>
    <row r="52" spans="5:51" s="132" customFormat="1">
      <c r="E52" s="543"/>
      <c r="F52"/>
      <c r="G52"/>
      <c r="I52" s="543"/>
      <c r="O52" s="543"/>
      <c r="P52"/>
      <c r="R52"/>
      <c r="U52"/>
      <c r="V52" s="543"/>
      <c r="AA52"/>
      <c r="AF52" s="543"/>
      <c r="AV52"/>
      <c r="AW52"/>
      <c r="AX52"/>
      <c r="AY52"/>
    </row>
    <row r="53" spans="5:51" s="132" customFormat="1">
      <c r="E53" s="543"/>
      <c r="F53"/>
      <c r="G53"/>
      <c r="I53" s="543"/>
      <c r="O53" s="543"/>
      <c r="P53"/>
      <c r="R53"/>
      <c r="U53"/>
      <c r="V53" s="543"/>
      <c r="AA53"/>
      <c r="AF53" s="543"/>
      <c r="AV53"/>
      <c r="AW53"/>
      <c r="AX53"/>
      <c r="AY53"/>
    </row>
    <row r="54" spans="5:51" s="132" customFormat="1">
      <c r="E54" s="543"/>
      <c r="F54"/>
      <c r="G54"/>
      <c r="I54" s="543"/>
      <c r="O54" s="543"/>
      <c r="P54"/>
      <c r="R54"/>
      <c r="U54"/>
      <c r="V54" s="543"/>
      <c r="AA54"/>
      <c r="AF54" s="543"/>
      <c r="AV54"/>
      <c r="AW54"/>
      <c r="AX54"/>
      <c r="AY54"/>
    </row>
    <row r="55" spans="5:51" s="132" customFormat="1">
      <c r="E55" s="543"/>
      <c r="F55"/>
      <c r="G55"/>
      <c r="I55" s="543"/>
      <c r="O55" s="543"/>
      <c r="P55"/>
      <c r="R55"/>
      <c r="U55"/>
      <c r="V55" s="543"/>
      <c r="AA55"/>
      <c r="AF55" s="543"/>
      <c r="AV55"/>
      <c r="AW55"/>
      <c r="AX55"/>
      <c r="AY55"/>
    </row>
    <row r="56" spans="5:51" s="132" customFormat="1">
      <c r="E56" s="543"/>
      <c r="F56"/>
      <c r="G56"/>
      <c r="I56" s="543"/>
      <c r="O56" s="543"/>
      <c r="P56"/>
      <c r="R56"/>
      <c r="U56"/>
      <c r="V56" s="543"/>
      <c r="AA56"/>
      <c r="AF56" s="543"/>
      <c r="AV56"/>
      <c r="AW56"/>
      <c r="AX56"/>
      <c r="AY56"/>
    </row>
    <row r="57" spans="5:51" s="132" customFormat="1">
      <c r="E57" s="543"/>
      <c r="F57"/>
      <c r="G57"/>
      <c r="I57" s="543"/>
      <c r="O57" s="543"/>
      <c r="P57"/>
      <c r="R57"/>
      <c r="U57"/>
      <c r="V57" s="543"/>
      <c r="AA57"/>
      <c r="AF57" s="543"/>
      <c r="AV57"/>
      <c r="AW57"/>
      <c r="AX57"/>
      <c r="AY57"/>
    </row>
    <row r="58" spans="5:51" s="132" customFormat="1">
      <c r="E58" s="543"/>
      <c r="F58"/>
      <c r="G58"/>
      <c r="I58" s="543"/>
      <c r="O58" s="543"/>
      <c r="P58"/>
      <c r="R58"/>
      <c r="U58"/>
      <c r="V58" s="543"/>
      <c r="AA58"/>
      <c r="AF58" s="543"/>
      <c r="AV58"/>
      <c r="AW58"/>
      <c r="AX58"/>
      <c r="AY58"/>
    </row>
    <row r="59" spans="5:51" s="132" customFormat="1">
      <c r="E59" s="543"/>
      <c r="F59"/>
      <c r="G59"/>
      <c r="I59" s="543"/>
      <c r="O59" s="543"/>
      <c r="P59"/>
      <c r="R59"/>
      <c r="U59"/>
      <c r="V59" s="543"/>
      <c r="AA59"/>
      <c r="AF59" s="543"/>
      <c r="AV59"/>
      <c r="AW59"/>
      <c r="AX59"/>
      <c r="AY59"/>
    </row>
    <row r="60" spans="5:51" s="132" customFormat="1">
      <c r="E60" s="543"/>
      <c r="F60"/>
      <c r="G60"/>
      <c r="I60" s="543"/>
      <c r="O60" s="543"/>
      <c r="P60"/>
      <c r="R60"/>
      <c r="U60"/>
      <c r="V60" s="543"/>
      <c r="AA60"/>
      <c r="AF60" s="543"/>
      <c r="AV60"/>
      <c r="AW60"/>
      <c r="AX60"/>
      <c r="AY60"/>
    </row>
    <row r="61" spans="5:51" s="132" customFormat="1">
      <c r="E61" s="543"/>
      <c r="F61"/>
      <c r="G61"/>
      <c r="I61" s="543"/>
      <c r="O61" s="543"/>
      <c r="P61"/>
      <c r="R61"/>
      <c r="U61"/>
      <c r="V61" s="543"/>
      <c r="AA61"/>
      <c r="AF61" s="543"/>
      <c r="AV61"/>
      <c r="AW61"/>
      <c r="AX61"/>
      <c r="AY61"/>
    </row>
    <row r="62" spans="5:51" s="132" customFormat="1">
      <c r="E62" s="543"/>
      <c r="F62"/>
      <c r="G62"/>
      <c r="I62" s="543"/>
      <c r="O62" s="543"/>
      <c r="P62"/>
      <c r="R62"/>
      <c r="U62"/>
      <c r="V62" s="543"/>
      <c r="AA62"/>
      <c r="AF62" s="543"/>
      <c r="AV62"/>
      <c r="AW62"/>
      <c r="AX62"/>
      <c r="AY62"/>
    </row>
    <row r="63" spans="5:51" s="132" customFormat="1">
      <c r="E63" s="543"/>
      <c r="F63"/>
      <c r="G63"/>
      <c r="I63" s="543"/>
      <c r="O63" s="543"/>
      <c r="P63"/>
      <c r="R63"/>
      <c r="U63"/>
      <c r="V63" s="543"/>
      <c r="AA63"/>
      <c r="AF63" s="543"/>
      <c r="AV63"/>
      <c r="AW63"/>
      <c r="AX63"/>
      <c r="AY63"/>
    </row>
    <row r="64" spans="5:51" s="132" customFormat="1">
      <c r="E64" s="543"/>
      <c r="F64"/>
      <c r="G64"/>
      <c r="I64" s="543"/>
      <c r="O64" s="543"/>
      <c r="P64"/>
      <c r="R64"/>
      <c r="U64"/>
      <c r="V64" s="543"/>
      <c r="AA64"/>
      <c r="AF64" s="543"/>
      <c r="AV64"/>
      <c r="AW64"/>
      <c r="AX64"/>
      <c r="AY64"/>
    </row>
    <row r="65" spans="5:51" s="132" customFormat="1">
      <c r="E65" s="543"/>
      <c r="F65"/>
      <c r="G65"/>
      <c r="I65" s="543"/>
      <c r="O65" s="543"/>
      <c r="P65"/>
      <c r="R65"/>
      <c r="U65"/>
      <c r="V65" s="543"/>
      <c r="AA65"/>
      <c r="AF65" s="543"/>
      <c r="AV65"/>
      <c r="AW65"/>
      <c r="AX65"/>
      <c r="AY65"/>
    </row>
    <row r="66" spans="5:51" s="132" customFormat="1">
      <c r="E66" s="543"/>
      <c r="F66"/>
      <c r="G66"/>
      <c r="I66" s="543"/>
      <c r="O66" s="543"/>
      <c r="P66"/>
      <c r="R66"/>
      <c r="U66"/>
      <c r="V66" s="543"/>
      <c r="AA66"/>
      <c r="AF66" s="543"/>
      <c r="AV66"/>
      <c r="AW66"/>
      <c r="AX66"/>
      <c r="AY66"/>
    </row>
    <row r="67" spans="5:51" s="132" customFormat="1">
      <c r="E67" s="543"/>
      <c r="F67"/>
      <c r="G67"/>
      <c r="I67" s="543"/>
      <c r="O67" s="543"/>
      <c r="P67"/>
      <c r="R67"/>
      <c r="U67"/>
      <c r="V67" s="543"/>
      <c r="AA67"/>
      <c r="AF67" s="543"/>
      <c r="AV67"/>
      <c r="AW67"/>
      <c r="AX67"/>
      <c r="AY67"/>
    </row>
    <row r="68" spans="5:51" s="132" customFormat="1">
      <c r="E68" s="543"/>
      <c r="F68"/>
      <c r="G68"/>
      <c r="I68" s="543"/>
      <c r="O68" s="543"/>
      <c r="P68"/>
      <c r="R68"/>
      <c r="U68"/>
      <c r="V68" s="543"/>
      <c r="AA68"/>
      <c r="AF68" s="543"/>
      <c r="AV68"/>
      <c r="AW68"/>
      <c r="AX68"/>
      <c r="AY68"/>
    </row>
    <row r="69" spans="5:51" s="132" customFormat="1">
      <c r="E69" s="543"/>
      <c r="F69"/>
      <c r="G69"/>
      <c r="I69" s="543"/>
      <c r="O69" s="543"/>
      <c r="P69"/>
      <c r="R69"/>
      <c r="U69"/>
      <c r="V69" s="543"/>
      <c r="AA69"/>
      <c r="AF69" s="543"/>
      <c r="AV69"/>
      <c r="AW69"/>
      <c r="AX69"/>
      <c r="AY69"/>
    </row>
    <row r="70" spans="5:51" s="132" customFormat="1">
      <c r="E70" s="543"/>
      <c r="F70"/>
      <c r="G70"/>
      <c r="I70" s="543"/>
      <c r="O70" s="543"/>
      <c r="P70"/>
      <c r="R70"/>
      <c r="U70"/>
      <c r="V70" s="543"/>
      <c r="AA70"/>
      <c r="AF70" s="543"/>
      <c r="AV70"/>
      <c r="AW70"/>
      <c r="AX70"/>
      <c r="AY70"/>
    </row>
    <row r="71" spans="5:51" s="132" customFormat="1">
      <c r="E71" s="543"/>
      <c r="F71"/>
      <c r="G71"/>
      <c r="I71" s="543"/>
      <c r="O71" s="543"/>
      <c r="P71"/>
      <c r="R71"/>
      <c r="U71"/>
      <c r="V71" s="543"/>
      <c r="AA71"/>
      <c r="AF71" s="543"/>
      <c r="AV71"/>
      <c r="AW71"/>
      <c r="AX71"/>
      <c r="AY71"/>
    </row>
    <row r="72" spans="5:51" s="132" customFormat="1">
      <c r="E72" s="543"/>
      <c r="F72"/>
      <c r="G72"/>
      <c r="I72" s="543"/>
      <c r="O72" s="543"/>
      <c r="P72"/>
      <c r="R72"/>
      <c r="U72"/>
      <c r="V72" s="543"/>
      <c r="AA72"/>
      <c r="AF72" s="543"/>
      <c r="AV72"/>
      <c r="AW72"/>
      <c r="AX72"/>
      <c r="AY72"/>
    </row>
    <row r="73" spans="5:51" s="132" customFormat="1">
      <c r="E73" s="543"/>
      <c r="F73"/>
      <c r="G73"/>
      <c r="I73" s="543"/>
      <c r="O73" s="543"/>
      <c r="P73"/>
      <c r="R73"/>
      <c r="U73"/>
      <c r="V73" s="543"/>
      <c r="AA73"/>
      <c r="AF73" s="543"/>
      <c r="AV73"/>
      <c r="AW73"/>
      <c r="AX73"/>
      <c r="AY73"/>
    </row>
    <row r="74" spans="5:51" s="132" customFormat="1">
      <c r="E74" s="543"/>
      <c r="F74"/>
      <c r="G74"/>
      <c r="I74" s="543"/>
      <c r="O74" s="543"/>
      <c r="P74"/>
      <c r="R74"/>
      <c r="U74"/>
      <c r="V74" s="543"/>
      <c r="AA74"/>
      <c r="AF74" s="543"/>
      <c r="AV74"/>
      <c r="AW74"/>
      <c r="AX74"/>
      <c r="AY74"/>
    </row>
    <row r="75" spans="5:51" s="132" customFormat="1">
      <c r="E75" s="543"/>
      <c r="F75"/>
      <c r="G75"/>
      <c r="I75" s="543"/>
      <c r="O75" s="543"/>
      <c r="P75"/>
      <c r="R75"/>
      <c r="U75"/>
      <c r="V75" s="543"/>
      <c r="AA75"/>
      <c r="AF75" s="543"/>
      <c r="AV75"/>
      <c r="AW75"/>
      <c r="AX75"/>
      <c r="AY75"/>
    </row>
    <row r="76" spans="5:51" s="132" customFormat="1">
      <c r="E76" s="543"/>
      <c r="F76"/>
      <c r="G76"/>
      <c r="I76" s="543"/>
      <c r="O76" s="543"/>
      <c r="P76"/>
      <c r="R76"/>
      <c r="U76"/>
      <c r="V76" s="543"/>
      <c r="AA76"/>
      <c r="AF76" s="543"/>
      <c r="AV76"/>
      <c r="AW76"/>
      <c r="AX76"/>
      <c r="AY76"/>
    </row>
    <row r="77" spans="5:51" s="132" customFormat="1">
      <c r="E77" s="543"/>
      <c r="F77"/>
      <c r="G77"/>
      <c r="I77" s="543"/>
      <c r="O77" s="543"/>
      <c r="P77"/>
      <c r="R77"/>
      <c r="U77"/>
      <c r="V77" s="543"/>
      <c r="AA77"/>
      <c r="AF77" s="543"/>
      <c r="AV77"/>
      <c r="AW77"/>
      <c r="AX77"/>
      <c r="AY77"/>
    </row>
    <row r="78" spans="5:51" s="132" customFormat="1">
      <c r="E78" s="543"/>
      <c r="F78"/>
      <c r="G78"/>
      <c r="I78" s="543"/>
      <c r="O78" s="543"/>
      <c r="P78"/>
      <c r="R78"/>
      <c r="U78"/>
      <c r="V78" s="543"/>
      <c r="AA78"/>
      <c r="AF78" s="543"/>
      <c r="AV78"/>
      <c r="AW78"/>
      <c r="AX78"/>
      <c r="AY78"/>
    </row>
    <row r="79" spans="5:51" s="132" customFormat="1">
      <c r="E79" s="543"/>
      <c r="F79"/>
      <c r="G79"/>
      <c r="I79" s="543"/>
      <c r="O79" s="543"/>
      <c r="P79"/>
      <c r="R79"/>
      <c r="U79"/>
      <c r="V79" s="543"/>
      <c r="AA79"/>
      <c r="AF79" s="543"/>
      <c r="AV79"/>
      <c r="AW79"/>
      <c r="AX79"/>
      <c r="AY79"/>
    </row>
    <row r="80" spans="5:51" s="132" customFormat="1">
      <c r="E80" s="543"/>
      <c r="F80"/>
      <c r="G80"/>
      <c r="I80" s="543"/>
      <c r="O80" s="543"/>
      <c r="P80"/>
      <c r="R80"/>
      <c r="U80"/>
      <c r="V80" s="543"/>
      <c r="AA80"/>
      <c r="AF80" s="543"/>
      <c r="AV80"/>
      <c r="AW80"/>
      <c r="AX80"/>
      <c r="AY80"/>
    </row>
    <row r="81" spans="5:51" s="132" customFormat="1">
      <c r="E81" s="543"/>
      <c r="F81"/>
      <c r="G81"/>
      <c r="I81" s="543"/>
      <c r="O81" s="543"/>
      <c r="P81"/>
      <c r="R81"/>
      <c r="U81"/>
      <c r="V81" s="543"/>
      <c r="AA81"/>
      <c r="AF81" s="543"/>
      <c r="AV81"/>
      <c r="AW81"/>
      <c r="AX81"/>
      <c r="AY81"/>
    </row>
    <row r="82" spans="5:51" s="132" customFormat="1">
      <c r="E82" s="543"/>
      <c r="F82"/>
      <c r="G82"/>
      <c r="I82" s="543"/>
      <c r="O82" s="543"/>
      <c r="P82"/>
      <c r="R82"/>
      <c r="U82"/>
      <c r="V82" s="543"/>
      <c r="AA82"/>
      <c r="AF82" s="543"/>
      <c r="AV82"/>
      <c r="AW82"/>
      <c r="AX82"/>
      <c r="AY82"/>
    </row>
    <row r="83" spans="5:51" s="132" customFormat="1">
      <c r="E83" s="543"/>
      <c r="F83"/>
      <c r="G83"/>
      <c r="I83" s="543"/>
      <c r="O83" s="543"/>
      <c r="P83"/>
      <c r="R83"/>
      <c r="U83"/>
      <c r="V83" s="543"/>
      <c r="AA83"/>
      <c r="AF83" s="543"/>
      <c r="AV83"/>
      <c r="AW83"/>
      <c r="AX83"/>
      <c r="AY83"/>
    </row>
    <row r="84" spans="5:51" s="132" customFormat="1">
      <c r="E84" s="543"/>
      <c r="F84"/>
      <c r="G84"/>
      <c r="I84" s="543"/>
      <c r="O84" s="543"/>
      <c r="P84"/>
      <c r="R84"/>
      <c r="U84"/>
      <c r="V84" s="543"/>
      <c r="AA84"/>
      <c r="AF84" s="543"/>
      <c r="AV84"/>
      <c r="AW84"/>
      <c r="AX84"/>
      <c r="AY84"/>
    </row>
    <row r="85" spans="5:51" s="132" customFormat="1">
      <c r="E85" s="543"/>
      <c r="F85"/>
      <c r="G85"/>
      <c r="I85" s="543"/>
      <c r="O85" s="543"/>
      <c r="P85"/>
      <c r="R85"/>
      <c r="U85"/>
      <c r="V85" s="543"/>
      <c r="AA85"/>
      <c r="AF85" s="543"/>
      <c r="AV85"/>
      <c r="AW85"/>
      <c r="AX85"/>
      <c r="AY85"/>
    </row>
    <row r="86" spans="5:51" s="132" customFormat="1">
      <c r="E86" s="543"/>
      <c r="F86"/>
      <c r="G86"/>
      <c r="I86" s="543"/>
      <c r="O86" s="543"/>
      <c r="P86"/>
      <c r="R86"/>
      <c r="U86"/>
      <c r="V86" s="543"/>
      <c r="AA86"/>
      <c r="AF86" s="543"/>
      <c r="AV86"/>
      <c r="AW86"/>
      <c r="AX86"/>
      <c r="AY86"/>
    </row>
    <row r="87" spans="5:51" s="132" customFormat="1">
      <c r="E87" s="543"/>
      <c r="F87"/>
      <c r="G87"/>
      <c r="I87" s="543"/>
      <c r="O87" s="543"/>
      <c r="P87"/>
      <c r="R87"/>
      <c r="U87"/>
      <c r="V87" s="543"/>
      <c r="AA87"/>
      <c r="AF87" s="543"/>
      <c r="AV87"/>
      <c r="AW87"/>
      <c r="AX87"/>
      <c r="AY87"/>
    </row>
    <row r="88" spans="5:51" s="132" customFormat="1">
      <c r="E88" s="543"/>
      <c r="F88"/>
      <c r="G88"/>
      <c r="I88" s="543"/>
      <c r="O88" s="543"/>
      <c r="P88"/>
      <c r="R88"/>
      <c r="U88"/>
      <c r="V88" s="543"/>
      <c r="AA88"/>
      <c r="AF88" s="543"/>
      <c r="AV88"/>
      <c r="AW88"/>
      <c r="AX88"/>
      <c r="AY88"/>
    </row>
    <row r="89" spans="5:51" s="132" customFormat="1">
      <c r="E89" s="543"/>
      <c r="F89"/>
      <c r="G89"/>
      <c r="I89" s="543"/>
      <c r="O89" s="543"/>
      <c r="P89"/>
      <c r="R89"/>
      <c r="U89"/>
      <c r="V89" s="543"/>
      <c r="AA89"/>
      <c r="AF89" s="543"/>
      <c r="AV89"/>
      <c r="AW89"/>
      <c r="AX89"/>
      <c r="AY89"/>
    </row>
    <row r="90" spans="5:51" s="132" customFormat="1">
      <c r="E90" s="543"/>
      <c r="F90"/>
      <c r="G90"/>
      <c r="I90" s="543"/>
      <c r="O90" s="543"/>
      <c r="P90"/>
      <c r="R90"/>
      <c r="U90"/>
      <c r="V90" s="543"/>
      <c r="AA90"/>
      <c r="AF90" s="543"/>
      <c r="AV90"/>
      <c r="AW90"/>
      <c r="AX90"/>
      <c r="AY90"/>
    </row>
    <row r="91" spans="5:51" s="132" customFormat="1">
      <c r="E91" s="543"/>
      <c r="F91"/>
      <c r="G91"/>
      <c r="I91" s="543"/>
      <c r="O91" s="543"/>
      <c r="P91"/>
      <c r="R91"/>
      <c r="U91"/>
      <c r="V91" s="543"/>
      <c r="AA91"/>
      <c r="AF91" s="543"/>
      <c r="AV91"/>
      <c r="AW91"/>
      <c r="AX91"/>
      <c r="AY91"/>
    </row>
    <row r="92" spans="5:51" s="132" customFormat="1">
      <c r="E92" s="543"/>
      <c r="F92"/>
      <c r="G92"/>
      <c r="I92" s="543"/>
      <c r="O92" s="543"/>
      <c r="P92"/>
      <c r="R92"/>
      <c r="U92"/>
      <c r="V92" s="543"/>
      <c r="AA92"/>
      <c r="AF92" s="543"/>
      <c r="AV92"/>
      <c r="AW92"/>
      <c r="AX92"/>
      <c r="AY92"/>
    </row>
    <row r="93" spans="5:51" s="132" customFormat="1">
      <c r="E93" s="543"/>
      <c r="F93"/>
      <c r="G93"/>
      <c r="I93" s="543"/>
      <c r="O93" s="543"/>
      <c r="P93"/>
      <c r="R93"/>
      <c r="U93"/>
      <c r="V93" s="543"/>
      <c r="AA93"/>
      <c r="AF93" s="543"/>
      <c r="AV93"/>
      <c r="AW93"/>
      <c r="AX93"/>
      <c r="AY93"/>
    </row>
    <row r="94" spans="5:51" s="132" customFormat="1">
      <c r="E94" s="543"/>
      <c r="F94"/>
      <c r="G94"/>
      <c r="I94" s="543"/>
      <c r="O94" s="543"/>
      <c r="P94"/>
      <c r="R94"/>
      <c r="U94"/>
      <c r="V94" s="543"/>
      <c r="AA94"/>
      <c r="AF94" s="543"/>
      <c r="AV94"/>
      <c r="AW94"/>
      <c r="AX94"/>
      <c r="AY94"/>
    </row>
    <row r="95" spans="5:51" s="132" customFormat="1">
      <c r="E95" s="543"/>
      <c r="F95"/>
      <c r="G95"/>
      <c r="I95" s="543"/>
      <c r="O95" s="543"/>
      <c r="P95"/>
      <c r="R95"/>
      <c r="U95"/>
      <c r="V95" s="543"/>
      <c r="AA95"/>
      <c r="AF95" s="543"/>
      <c r="AV95"/>
      <c r="AW95"/>
      <c r="AX95"/>
      <c r="AY95"/>
    </row>
    <row r="96" spans="5:51" s="132" customFormat="1">
      <c r="E96" s="543"/>
      <c r="F96"/>
      <c r="G96"/>
      <c r="I96" s="543"/>
      <c r="O96" s="543"/>
      <c r="P96"/>
      <c r="R96"/>
      <c r="U96"/>
      <c r="V96" s="543"/>
      <c r="AA96"/>
      <c r="AF96" s="543"/>
      <c r="AV96"/>
      <c r="AW96"/>
      <c r="AX96"/>
      <c r="AY96"/>
    </row>
    <row r="97" spans="5:51" s="132" customFormat="1">
      <c r="E97" s="543"/>
      <c r="F97"/>
      <c r="G97"/>
      <c r="I97" s="543"/>
      <c r="O97" s="543"/>
      <c r="P97"/>
      <c r="R97"/>
      <c r="U97"/>
      <c r="V97" s="543"/>
      <c r="AA97"/>
      <c r="AF97" s="543"/>
      <c r="AV97"/>
      <c r="AW97"/>
      <c r="AX97"/>
      <c r="AY97"/>
    </row>
    <row r="98" spans="5:51" s="132" customFormat="1">
      <c r="E98" s="543"/>
      <c r="F98"/>
      <c r="G98"/>
      <c r="I98" s="543"/>
      <c r="O98" s="543"/>
      <c r="P98"/>
      <c r="R98"/>
      <c r="U98"/>
      <c r="V98" s="543"/>
      <c r="AA98"/>
      <c r="AF98" s="543"/>
      <c r="AV98"/>
      <c r="AW98"/>
      <c r="AX98"/>
      <c r="AY98"/>
    </row>
    <row r="99" spans="5:51" s="132" customFormat="1">
      <c r="E99" s="543"/>
      <c r="F99"/>
      <c r="G99"/>
      <c r="I99" s="543"/>
      <c r="O99" s="543"/>
      <c r="P99"/>
      <c r="R99"/>
      <c r="U99"/>
      <c r="V99" s="543"/>
      <c r="AA99"/>
      <c r="AF99" s="543"/>
      <c r="AV99"/>
      <c r="AW99"/>
      <c r="AX99"/>
      <c r="AY99"/>
    </row>
    <row r="100" spans="5:51" s="132" customFormat="1">
      <c r="E100" s="543"/>
      <c r="F100"/>
      <c r="G100"/>
      <c r="I100" s="543"/>
      <c r="O100" s="543"/>
      <c r="P100"/>
      <c r="R100"/>
      <c r="U100"/>
      <c r="V100" s="543"/>
      <c r="AA100"/>
      <c r="AF100" s="543"/>
      <c r="AV100"/>
      <c r="AW100"/>
      <c r="AX100"/>
      <c r="AY100"/>
    </row>
    <row r="101" spans="5:51" s="132" customFormat="1">
      <c r="E101" s="543"/>
      <c r="F101"/>
      <c r="G101"/>
      <c r="I101" s="543"/>
      <c r="O101" s="543"/>
      <c r="P101"/>
      <c r="R101"/>
      <c r="U101"/>
      <c r="V101" s="543"/>
      <c r="AA101"/>
      <c r="AF101" s="543"/>
      <c r="AV101"/>
      <c r="AW101"/>
      <c r="AX101"/>
      <c r="AY101"/>
    </row>
    <row r="102" spans="5:51" s="132" customFormat="1">
      <c r="E102" s="543"/>
      <c r="F102"/>
      <c r="G102"/>
      <c r="I102" s="543"/>
      <c r="O102" s="543"/>
      <c r="P102"/>
      <c r="R102"/>
      <c r="U102"/>
      <c r="V102" s="543"/>
      <c r="AA102"/>
      <c r="AF102" s="543"/>
      <c r="AV102"/>
      <c r="AW102"/>
      <c r="AX102"/>
      <c r="AY102"/>
    </row>
    <row r="103" spans="5:51" s="132" customFormat="1">
      <c r="E103" s="543"/>
      <c r="F103"/>
      <c r="G103"/>
      <c r="I103" s="543"/>
      <c r="O103" s="543"/>
      <c r="P103"/>
      <c r="R103"/>
      <c r="U103"/>
      <c r="V103" s="543"/>
      <c r="AA103"/>
      <c r="AF103" s="543"/>
      <c r="AV103"/>
      <c r="AW103"/>
      <c r="AX103"/>
      <c r="AY103"/>
    </row>
    <row r="104" spans="5:51" s="132" customFormat="1">
      <c r="E104" s="543"/>
      <c r="F104"/>
      <c r="G104"/>
      <c r="I104" s="543"/>
      <c r="O104" s="543"/>
      <c r="P104"/>
      <c r="R104"/>
      <c r="U104"/>
      <c r="V104" s="543"/>
      <c r="AA104"/>
      <c r="AF104" s="543"/>
      <c r="AV104"/>
      <c r="AW104"/>
      <c r="AX104"/>
      <c r="AY104"/>
    </row>
    <row r="105" spans="5:51" s="132" customFormat="1">
      <c r="E105" s="543"/>
      <c r="F105"/>
      <c r="G105"/>
      <c r="I105" s="543"/>
      <c r="O105" s="543"/>
      <c r="P105"/>
      <c r="R105"/>
      <c r="U105"/>
      <c r="V105" s="543"/>
      <c r="AA105"/>
      <c r="AF105" s="543"/>
      <c r="AV105"/>
      <c r="AW105"/>
      <c r="AX105"/>
      <c r="AY105"/>
    </row>
    <row r="106" spans="5:51" s="132" customFormat="1">
      <c r="E106" s="543"/>
      <c r="F106"/>
      <c r="G106"/>
      <c r="I106" s="543"/>
      <c r="O106" s="543"/>
      <c r="P106"/>
      <c r="R106"/>
      <c r="U106"/>
      <c r="V106" s="543"/>
      <c r="AA106"/>
      <c r="AF106" s="543"/>
      <c r="AV106"/>
      <c r="AW106"/>
      <c r="AX106"/>
      <c r="AY106"/>
    </row>
    <row r="107" spans="5:51" s="132" customFormat="1">
      <c r="E107" s="543"/>
      <c r="F107"/>
      <c r="G107"/>
      <c r="I107" s="543"/>
      <c r="O107" s="543"/>
      <c r="P107"/>
      <c r="R107"/>
      <c r="U107"/>
      <c r="V107" s="543"/>
      <c r="AA107"/>
      <c r="AF107" s="543"/>
      <c r="AV107"/>
      <c r="AW107"/>
      <c r="AX107"/>
      <c r="AY107"/>
    </row>
    <row r="108" spans="5:51" s="132" customFormat="1">
      <c r="E108" s="543"/>
      <c r="F108"/>
      <c r="G108"/>
      <c r="I108" s="543"/>
      <c r="O108" s="543"/>
      <c r="P108"/>
      <c r="R108"/>
      <c r="U108"/>
      <c r="V108" s="543"/>
      <c r="AA108"/>
      <c r="AF108" s="543"/>
      <c r="AV108"/>
      <c r="AW108"/>
      <c r="AX108"/>
      <c r="AY108"/>
    </row>
    <row r="109" spans="5:51" s="132" customFormat="1">
      <c r="E109" s="543"/>
      <c r="F109"/>
      <c r="G109"/>
      <c r="I109" s="543"/>
      <c r="O109" s="543"/>
      <c r="P109"/>
      <c r="R109"/>
      <c r="U109"/>
      <c r="V109" s="543"/>
      <c r="AA109"/>
      <c r="AF109" s="543"/>
      <c r="AV109"/>
      <c r="AW109"/>
      <c r="AX109"/>
      <c r="AY109"/>
    </row>
    <row r="110" spans="5:51" s="132" customFormat="1">
      <c r="E110" s="543"/>
      <c r="F110"/>
      <c r="G110"/>
      <c r="I110" s="543"/>
      <c r="O110" s="543"/>
      <c r="P110"/>
      <c r="R110"/>
      <c r="U110"/>
      <c r="V110" s="543"/>
      <c r="AA110"/>
      <c r="AF110" s="543"/>
      <c r="AV110"/>
      <c r="AW110"/>
      <c r="AX110"/>
      <c r="AY110"/>
    </row>
    <row r="111" spans="5:51" s="132" customFormat="1">
      <c r="E111" s="543"/>
      <c r="F111"/>
      <c r="G111"/>
      <c r="I111" s="543"/>
      <c r="O111" s="543"/>
      <c r="P111"/>
      <c r="R111"/>
      <c r="U111"/>
      <c r="V111" s="543"/>
      <c r="AA111"/>
      <c r="AF111" s="543"/>
      <c r="AV111"/>
      <c r="AW111"/>
      <c r="AX111"/>
      <c r="AY111"/>
    </row>
    <row r="112" spans="5:51" s="132" customFormat="1">
      <c r="E112" s="543"/>
      <c r="F112"/>
      <c r="G112"/>
      <c r="I112" s="543"/>
      <c r="O112" s="543"/>
      <c r="P112"/>
      <c r="R112"/>
      <c r="U112"/>
      <c r="V112" s="543"/>
      <c r="AA112"/>
      <c r="AF112" s="543"/>
      <c r="AV112"/>
      <c r="AW112"/>
      <c r="AX112"/>
      <c r="AY112"/>
    </row>
    <row r="113" spans="5:51" s="132" customFormat="1">
      <c r="E113" s="543"/>
      <c r="F113"/>
      <c r="G113"/>
      <c r="I113" s="543"/>
      <c r="O113" s="543"/>
      <c r="P113"/>
      <c r="R113"/>
      <c r="U113"/>
      <c r="V113" s="543"/>
      <c r="AA113"/>
      <c r="AF113" s="543"/>
      <c r="AV113"/>
      <c r="AW113"/>
      <c r="AX113"/>
      <c r="AY113"/>
    </row>
    <row r="114" spans="5:51" s="132" customFormat="1">
      <c r="E114" s="543"/>
      <c r="F114"/>
      <c r="G114"/>
      <c r="I114" s="543"/>
      <c r="O114" s="543"/>
      <c r="P114"/>
      <c r="R114"/>
      <c r="U114"/>
      <c r="V114" s="543"/>
      <c r="AA114"/>
      <c r="AF114" s="543"/>
      <c r="AV114"/>
      <c r="AW114"/>
      <c r="AX114"/>
      <c r="AY114"/>
    </row>
    <row r="115" spans="5:51" s="132" customFormat="1">
      <c r="E115" s="543"/>
      <c r="F115"/>
      <c r="G115"/>
      <c r="I115" s="543"/>
      <c r="O115" s="543"/>
      <c r="P115"/>
      <c r="R115"/>
      <c r="U115"/>
      <c r="V115" s="543"/>
      <c r="AA115"/>
      <c r="AF115" s="543"/>
      <c r="AV115"/>
      <c r="AW115"/>
      <c r="AX115"/>
      <c r="AY115"/>
    </row>
    <row r="116" spans="5:51" s="132" customFormat="1">
      <c r="E116" s="543"/>
      <c r="F116"/>
      <c r="G116"/>
      <c r="I116" s="543"/>
      <c r="O116" s="543"/>
      <c r="P116"/>
      <c r="R116"/>
      <c r="U116"/>
      <c r="V116" s="543"/>
      <c r="AA116"/>
      <c r="AF116" s="543"/>
      <c r="AV116"/>
      <c r="AW116"/>
      <c r="AX116"/>
      <c r="AY116"/>
    </row>
    <row r="117" spans="5:51" s="132" customFormat="1">
      <c r="E117" s="543"/>
      <c r="F117"/>
      <c r="G117"/>
      <c r="I117" s="543"/>
      <c r="O117" s="543"/>
      <c r="P117"/>
      <c r="R117"/>
      <c r="U117"/>
      <c r="V117" s="543"/>
      <c r="AA117"/>
      <c r="AF117" s="543"/>
      <c r="AV117"/>
      <c r="AW117"/>
      <c r="AX117"/>
      <c r="AY117"/>
    </row>
    <row r="118" spans="5:51" s="132" customFormat="1">
      <c r="E118" s="543"/>
      <c r="F118"/>
      <c r="G118"/>
      <c r="I118" s="543"/>
      <c r="O118" s="543"/>
      <c r="P118"/>
      <c r="R118"/>
      <c r="U118"/>
      <c r="V118" s="543"/>
      <c r="AA118"/>
      <c r="AF118" s="543"/>
      <c r="AV118"/>
      <c r="AW118"/>
      <c r="AX118"/>
      <c r="AY118"/>
    </row>
    <row r="119" spans="5:51" s="132" customFormat="1">
      <c r="E119" s="543"/>
      <c r="F119"/>
      <c r="G119"/>
      <c r="I119" s="543"/>
      <c r="O119" s="543"/>
      <c r="P119"/>
      <c r="R119"/>
      <c r="U119"/>
      <c r="V119" s="543"/>
      <c r="AA119"/>
      <c r="AF119" s="543"/>
      <c r="AV119"/>
      <c r="AW119"/>
      <c r="AX119"/>
      <c r="AY119"/>
    </row>
    <row r="120" spans="5:51" s="132" customFormat="1">
      <c r="E120" s="543"/>
      <c r="F120"/>
      <c r="G120"/>
      <c r="I120" s="543"/>
      <c r="O120" s="543"/>
      <c r="P120"/>
      <c r="R120"/>
      <c r="U120"/>
      <c r="V120" s="543"/>
      <c r="AA120"/>
      <c r="AF120" s="543"/>
      <c r="AV120"/>
      <c r="AW120"/>
      <c r="AX120"/>
      <c r="AY120"/>
    </row>
    <row r="121" spans="5:51" s="132" customFormat="1">
      <c r="E121" s="543"/>
      <c r="F121"/>
      <c r="G121"/>
      <c r="I121" s="543"/>
      <c r="O121" s="543"/>
      <c r="P121"/>
      <c r="R121"/>
      <c r="U121"/>
      <c r="V121" s="543"/>
      <c r="AA121"/>
      <c r="AF121" s="543"/>
      <c r="AV121"/>
      <c r="AW121"/>
      <c r="AX121"/>
      <c r="AY121"/>
    </row>
    <row r="122" spans="5:51" s="132" customFormat="1">
      <c r="E122" s="543"/>
      <c r="F122"/>
      <c r="G122"/>
      <c r="I122" s="543"/>
      <c r="O122" s="543"/>
      <c r="P122"/>
      <c r="R122"/>
      <c r="U122"/>
      <c r="V122" s="543"/>
      <c r="AA122"/>
      <c r="AF122" s="543"/>
      <c r="AV122"/>
      <c r="AW122"/>
      <c r="AX122"/>
      <c r="AY122"/>
    </row>
    <row r="123" spans="5:51" s="132" customFormat="1">
      <c r="E123" s="543"/>
      <c r="F123"/>
      <c r="G123"/>
      <c r="I123" s="543"/>
      <c r="O123" s="543"/>
      <c r="P123"/>
      <c r="R123"/>
      <c r="U123"/>
      <c r="V123" s="543"/>
      <c r="AA123"/>
      <c r="AF123" s="543"/>
      <c r="AV123"/>
      <c r="AW123"/>
      <c r="AX123"/>
      <c r="AY123"/>
    </row>
    <row r="124" spans="5:51" s="132" customFormat="1">
      <c r="E124" s="543"/>
      <c r="F124"/>
      <c r="G124"/>
      <c r="I124" s="543"/>
      <c r="O124" s="543"/>
      <c r="P124"/>
      <c r="R124"/>
      <c r="U124"/>
      <c r="V124" s="543"/>
      <c r="AA124"/>
      <c r="AF124" s="543"/>
      <c r="AV124"/>
      <c r="AW124"/>
      <c r="AX124"/>
      <c r="AY124"/>
    </row>
    <row r="125" spans="5:51" s="132" customFormat="1">
      <c r="E125" s="543"/>
      <c r="F125"/>
      <c r="G125"/>
      <c r="I125" s="543"/>
      <c r="O125" s="543"/>
      <c r="P125"/>
      <c r="R125"/>
      <c r="U125"/>
      <c r="V125" s="543"/>
      <c r="AA125"/>
      <c r="AF125" s="543"/>
      <c r="AV125"/>
      <c r="AW125"/>
      <c r="AX125"/>
      <c r="AY125"/>
    </row>
    <row r="126" spans="5:51" s="132" customFormat="1">
      <c r="E126" s="543"/>
      <c r="F126"/>
      <c r="G126"/>
      <c r="I126" s="543"/>
      <c r="O126" s="543"/>
      <c r="P126"/>
      <c r="R126"/>
      <c r="U126"/>
      <c r="V126" s="543"/>
      <c r="AA126"/>
      <c r="AF126" s="543"/>
      <c r="AV126"/>
      <c r="AW126"/>
      <c r="AX126"/>
      <c r="AY126"/>
    </row>
    <row r="127" spans="5:51" s="132" customFormat="1">
      <c r="E127" s="543"/>
      <c r="F127"/>
      <c r="G127"/>
      <c r="I127" s="543"/>
      <c r="O127" s="543"/>
      <c r="P127"/>
      <c r="R127"/>
      <c r="U127"/>
      <c r="V127" s="543"/>
      <c r="AA127"/>
      <c r="AF127" s="543"/>
      <c r="AV127"/>
      <c r="AW127"/>
      <c r="AX127"/>
      <c r="AY127"/>
    </row>
    <row r="128" spans="5:51" s="132" customFormat="1">
      <c r="E128" s="543"/>
      <c r="F128"/>
      <c r="G128"/>
      <c r="I128" s="543"/>
      <c r="O128" s="543"/>
      <c r="P128"/>
      <c r="R128"/>
      <c r="U128"/>
      <c r="V128" s="543"/>
      <c r="AA128"/>
      <c r="AF128" s="543"/>
      <c r="AV128"/>
      <c r="AW128"/>
      <c r="AX128"/>
      <c r="AY128"/>
    </row>
    <row r="129" spans="5:51" s="132" customFormat="1">
      <c r="E129" s="543"/>
      <c r="F129"/>
      <c r="G129"/>
      <c r="I129" s="543"/>
      <c r="O129" s="543"/>
      <c r="P129"/>
      <c r="R129"/>
      <c r="U129"/>
      <c r="V129" s="543"/>
      <c r="AA129"/>
      <c r="AF129" s="543"/>
      <c r="AV129"/>
      <c r="AW129"/>
      <c r="AX129"/>
      <c r="AY129"/>
    </row>
    <row r="130" spans="5:51" s="132" customFormat="1">
      <c r="E130" s="543"/>
      <c r="F130"/>
      <c r="G130"/>
      <c r="I130" s="543"/>
      <c r="O130" s="543"/>
      <c r="P130"/>
      <c r="R130"/>
      <c r="U130"/>
      <c r="V130" s="543"/>
      <c r="AA130"/>
      <c r="AF130" s="543"/>
      <c r="AV130"/>
      <c r="AW130"/>
      <c r="AX130"/>
      <c r="AY130"/>
    </row>
    <row r="131" spans="5:51" s="132" customFormat="1">
      <c r="E131" s="543"/>
      <c r="F131"/>
      <c r="G131"/>
      <c r="I131" s="543"/>
      <c r="O131" s="543"/>
      <c r="P131"/>
      <c r="R131"/>
      <c r="U131"/>
      <c r="V131" s="543"/>
      <c r="AA131"/>
      <c r="AF131" s="543"/>
      <c r="AV131"/>
      <c r="AW131"/>
      <c r="AX131"/>
      <c r="AY131"/>
    </row>
    <row r="132" spans="5:51" s="132" customFormat="1">
      <c r="E132" s="543"/>
      <c r="F132"/>
      <c r="G132"/>
      <c r="I132" s="543"/>
      <c r="O132" s="543"/>
      <c r="P132"/>
      <c r="R132"/>
      <c r="U132"/>
      <c r="V132" s="543"/>
      <c r="AA132"/>
      <c r="AF132" s="543"/>
      <c r="AV132"/>
      <c r="AW132"/>
      <c r="AX132"/>
      <c r="AY132"/>
    </row>
    <row r="133" spans="5:51" s="132" customFormat="1">
      <c r="E133" s="543"/>
      <c r="F133"/>
      <c r="G133"/>
      <c r="I133" s="543"/>
      <c r="O133" s="543"/>
      <c r="P133"/>
      <c r="R133"/>
      <c r="U133"/>
      <c r="V133" s="543"/>
      <c r="AA133"/>
      <c r="AF133" s="543"/>
      <c r="AV133"/>
      <c r="AW133"/>
      <c r="AX133"/>
      <c r="AY133"/>
    </row>
    <row r="134" spans="5:51" s="132" customFormat="1">
      <c r="E134" s="543"/>
      <c r="F134"/>
      <c r="G134"/>
      <c r="I134" s="543"/>
      <c r="O134" s="543"/>
      <c r="P134"/>
      <c r="R134"/>
      <c r="U134"/>
      <c r="V134" s="543"/>
      <c r="AA134"/>
      <c r="AF134" s="543"/>
      <c r="AV134"/>
      <c r="AW134"/>
      <c r="AX134"/>
      <c r="AY134"/>
    </row>
    <row r="135" spans="5:51" s="132" customFormat="1">
      <c r="E135" s="543"/>
      <c r="F135"/>
      <c r="G135"/>
      <c r="I135" s="543"/>
      <c r="O135" s="543"/>
      <c r="P135"/>
      <c r="R135"/>
      <c r="U135"/>
      <c r="V135" s="543"/>
      <c r="AA135"/>
      <c r="AF135" s="543"/>
      <c r="AV135"/>
      <c r="AW135"/>
      <c r="AX135"/>
      <c r="AY135"/>
    </row>
    <row r="136" spans="5:51" s="132" customFormat="1">
      <c r="E136" s="543"/>
      <c r="F136"/>
      <c r="G136"/>
      <c r="I136" s="543"/>
      <c r="O136" s="543"/>
      <c r="P136"/>
      <c r="R136"/>
      <c r="U136"/>
      <c r="V136" s="543"/>
      <c r="AA136"/>
      <c r="AF136" s="543"/>
      <c r="AV136"/>
      <c r="AW136"/>
      <c r="AX136"/>
      <c r="AY136"/>
    </row>
    <row r="137" spans="5:51" s="132" customFormat="1">
      <c r="E137" s="543"/>
      <c r="F137"/>
      <c r="G137"/>
      <c r="I137" s="543"/>
      <c r="O137" s="543"/>
      <c r="P137"/>
      <c r="R137"/>
      <c r="U137"/>
      <c r="V137" s="543"/>
      <c r="AA137"/>
      <c r="AF137" s="543"/>
      <c r="AV137"/>
      <c r="AW137"/>
      <c r="AX137"/>
      <c r="AY137"/>
    </row>
    <row r="138" spans="5:51" s="132" customFormat="1">
      <c r="E138" s="543"/>
      <c r="F138"/>
      <c r="G138"/>
      <c r="I138" s="543"/>
      <c r="O138" s="543"/>
      <c r="P138"/>
      <c r="R138"/>
      <c r="U138"/>
      <c r="V138" s="543"/>
      <c r="AA138"/>
      <c r="AF138" s="543"/>
      <c r="AV138"/>
      <c r="AW138"/>
      <c r="AX138"/>
      <c r="AY138"/>
    </row>
    <row r="139" spans="5:51" s="132" customFormat="1">
      <c r="E139" s="543"/>
      <c r="F139"/>
      <c r="G139"/>
      <c r="I139" s="543"/>
      <c r="O139" s="543"/>
      <c r="P139"/>
      <c r="R139"/>
      <c r="U139"/>
      <c r="V139" s="543"/>
      <c r="AA139"/>
      <c r="AF139" s="543"/>
      <c r="AV139"/>
      <c r="AW139"/>
      <c r="AX139"/>
      <c r="AY139"/>
    </row>
    <row r="140" spans="5:51" s="132" customFormat="1">
      <c r="E140" s="543"/>
      <c r="F140"/>
      <c r="G140"/>
      <c r="I140" s="543"/>
      <c r="O140" s="543"/>
      <c r="P140"/>
      <c r="R140"/>
      <c r="U140"/>
      <c r="V140" s="543"/>
      <c r="AA140"/>
      <c r="AF140" s="543"/>
      <c r="AV140"/>
      <c r="AW140"/>
      <c r="AX140"/>
      <c r="AY140"/>
    </row>
    <row r="141" spans="5:51" s="132" customFormat="1">
      <c r="E141" s="543"/>
      <c r="F141"/>
      <c r="G141"/>
      <c r="I141" s="543"/>
      <c r="O141" s="543"/>
      <c r="P141"/>
      <c r="R141"/>
      <c r="U141"/>
      <c r="V141" s="543"/>
      <c r="AA141"/>
      <c r="AF141" s="543"/>
      <c r="AV141"/>
      <c r="AW141"/>
      <c r="AX141"/>
      <c r="AY141"/>
    </row>
    <row r="142" spans="5:51" s="132" customFormat="1">
      <c r="E142" s="543"/>
      <c r="F142"/>
      <c r="G142"/>
      <c r="I142" s="543"/>
      <c r="O142" s="543"/>
      <c r="P142"/>
      <c r="R142"/>
      <c r="U142"/>
      <c r="V142" s="543"/>
      <c r="AA142"/>
      <c r="AF142" s="543"/>
      <c r="AV142"/>
      <c r="AW142"/>
      <c r="AX142"/>
      <c r="AY142"/>
    </row>
    <row r="143" spans="5:51" s="132" customFormat="1">
      <c r="E143" s="543"/>
      <c r="F143"/>
      <c r="G143"/>
      <c r="I143" s="543"/>
      <c r="O143" s="543"/>
      <c r="P143"/>
      <c r="R143"/>
      <c r="U143"/>
      <c r="V143" s="543"/>
      <c r="AA143"/>
      <c r="AF143" s="543"/>
      <c r="AV143"/>
      <c r="AW143"/>
      <c r="AX143"/>
      <c r="AY143"/>
    </row>
    <row r="144" spans="5:51" s="132" customFormat="1">
      <c r="E144" s="543"/>
      <c r="F144"/>
      <c r="G144"/>
      <c r="I144" s="543"/>
      <c r="O144" s="543"/>
      <c r="P144"/>
      <c r="R144"/>
      <c r="U144"/>
      <c r="V144" s="543"/>
      <c r="AA144"/>
      <c r="AF144" s="543"/>
      <c r="AV144"/>
      <c r="AW144"/>
      <c r="AX144"/>
      <c r="AY144"/>
    </row>
    <row r="145" spans="5:51" s="132" customFormat="1">
      <c r="E145" s="543"/>
      <c r="F145"/>
      <c r="G145"/>
      <c r="I145" s="543"/>
      <c r="O145" s="543"/>
      <c r="P145"/>
      <c r="R145"/>
      <c r="U145"/>
      <c r="V145" s="543"/>
      <c r="AA145"/>
      <c r="AF145" s="543"/>
      <c r="AV145"/>
      <c r="AW145"/>
      <c r="AX145"/>
      <c r="AY145"/>
    </row>
    <row r="146" spans="5:51" s="132" customFormat="1">
      <c r="E146" s="543"/>
      <c r="F146"/>
      <c r="G146"/>
      <c r="I146" s="543"/>
      <c r="O146" s="543"/>
      <c r="P146"/>
      <c r="R146"/>
      <c r="U146"/>
      <c r="V146" s="543"/>
      <c r="AA146"/>
      <c r="AF146" s="543"/>
      <c r="AV146"/>
      <c r="AW146"/>
      <c r="AX146"/>
      <c r="AY146"/>
    </row>
    <row r="147" spans="5:51" s="132" customFormat="1">
      <c r="E147" s="543"/>
      <c r="F147"/>
      <c r="G147"/>
      <c r="I147" s="543"/>
      <c r="O147" s="543"/>
      <c r="P147"/>
      <c r="R147"/>
      <c r="U147"/>
      <c r="V147" s="543"/>
      <c r="AA147"/>
      <c r="AF147" s="543"/>
      <c r="AV147"/>
      <c r="AW147"/>
      <c r="AX147"/>
      <c r="AY147"/>
    </row>
    <row r="148" spans="5:51" s="132" customFormat="1">
      <c r="E148" s="543"/>
      <c r="F148"/>
      <c r="G148"/>
      <c r="I148" s="543"/>
      <c r="O148" s="543"/>
      <c r="P148"/>
      <c r="R148"/>
      <c r="U148"/>
      <c r="V148" s="543"/>
      <c r="AA148"/>
      <c r="AF148" s="543"/>
      <c r="AV148"/>
      <c r="AW148"/>
      <c r="AX148"/>
      <c r="AY148"/>
    </row>
    <row r="149" spans="5:51" s="132" customFormat="1">
      <c r="E149" s="543"/>
      <c r="F149"/>
      <c r="G149"/>
      <c r="I149" s="543"/>
      <c r="O149" s="543"/>
      <c r="P149"/>
      <c r="R149"/>
      <c r="U149"/>
      <c r="V149" s="543"/>
      <c r="AA149"/>
      <c r="AF149" s="543"/>
      <c r="AV149"/>
      <c r="AW149"/>
      <c r="AX149"/>
      <c r="AY149"/>
    </row>
    <row r="150" spans="5:51" s="132" customFormat="1">
      <c r="E150" s="543"/>
      <c r="F150"/>
      <c r="G150"/>
      <c r="I150" s="543"/>
      <c r="O150" s="543"/>
      <c r="P150"/>
      <c r="R150"/>
      <c r="U150"/>
      <c r="V150" s="543"/>
      <c r="AA150"/>
      <c r="AF150" s="543"/>
      <c r="AV150"/>
      <c r="AW150"/>
      <c r="AX150"/>
      <c r="AY150"/>
    </row>
    <row r="151" spans="5:51" s="132" customFormat="1">
      <c r="E151" s="543"/>
      <c r="F151"/>
      <c r="G151"/>
      <c r="I151" s="543"/>
      <c r="O151" s="543"/>
      <c r="P151"/>
      <c r="R151"/>
      <c r="U151"/>
      <c r="V151" s="543"/>
      <c r="AA151"/>
      <c r="AF151" s="543"/>
      <c r="AV151"/>
      <c r="AW151"/>
      <c r="AX151"/>
      <c r="AY151"/>
    </row>
    <row r="152" spans="5:51" s="132" customFormat="1">
      <c r="E152" s="543"/>
      <c r="F152"/>
      <c r="G152"/>
      <c r="I152" s="543"/>
      <c r="O152" s="543"/>
      <c r="P152"/>
      <c r="R152"/>
      <c r="U152"/>
      <c r="V152" s="543"/>
      <c r="AA152"/>
      <c r="AF152" s="543"/>
      <c r="AV152"/>
      <c r="AW152"/>
      <c r="AX152"/>
      <c r="AY152"/>
    </row>
    <row r="153" spans="5:51" s="132" customFormat="1">
      <c r="E153" s="543"/>
      <c r="F153"/>
      <c r="G153"/>
      <c r="I153" s="543"/>
      <c r="O153" s="543"/>
      <c r="P153"/>
      <c r="R153"/>
      <c r="U153"/>
      <c r="V153" s="543"/>
      <c r="AA153"/>
      <c r="AF153" s="543"/>
      <c r="AV153"/>
      <c r="AW153"/>
      <c r="AX153"/>
      <c r="AY153"/>
    </row>
    <row r="154" spans="5:51" s="132" customFormat="1">
      <c r="E154" s="543"/>
      <c r="F154"/>
      <c r="G154"/>
      <c r="I154" s="543"/>
      <c r="O154" s="543"/>
      <c r="P154"/>
      <c r="R154"/>
      <c r="U154"/>
      <c r="V154" s="543"/>
      <c r="AA154"/>
      <c r="AF154" s="543"/>
      <c r="AV154"/>
      <c r="AW154"/>
      <c r="AX154"/>
      <c r="AY154"/>
    </row>
    <row r="155" spans="5:51" s="132" customFormat="1">
      <c r="E155" s="543"/>
      <c r="F155"/>
      <c r="G155"/>
      <c r="I155" s="543"/>
      <c r="O155" s="543"/>
      <c r="P155"/>
      <c r="R155"/>
      <c r="U155"/>
      <c r="V155" s="543"/>
      <c r="AA155"/>
      <c r="AF155" s="543"/>
      <c r="AV155"/>
      <c r="AW155"/>
      <c r="AX155"/>
      <c r="AY155"/>
    </row>
    <row r="156" spans="5:51" s="132" customFormat="1">
      <c r="E156" s="543"/>
      <c r="F156"/>
      <c r="G156"/>
      <c r="I156" s="543"/>
      <c r="O156" s="543"/>
      <c r="P156"/>
      <c r="R156"/>
      <c r="U156"/>
      <c r="V156" s="543"/>
      <c r="AA156"/>
      <c r="AF156" s="543"/>
      <c r="AV156"/>
      <c r="AW156"/>
      <c r="AX156"/>
      <c r="AY156"/>
    </row>
    <row r="157" spans="5:51" s="132" customFormat="1">
      <c r="E157" s="543"/>
      <c r="F157"/>
      <c r="G157"/>
      <c r="I157" s="543"/>
      <c r="O157" s="543"/>
      <c r="P157"/>
      <c r="R157"/>
      <c r="U157"/>
      <c r="V157" s="543"/>
      <c r="AA157"/>
      <c r="AF157" s="543"/>
      <c r="AV157"/>
      <c r="AW157"/>
      <c r="AX157"/>
      <c r="AY157"/>
    </row>
    <row r="158" spans="5:51" s="132" customFormat="1">
      <c r="E158" s="543"/>
      <c r="F158"/>
      <c r="G158"/>
      <c r="I158" s="543"/>
      <c r="O158" s="543"/>
      <c r="P158"/>
      <c r="R158"/>
      <c r="U158"/>
      <c r="V158" s="543"/>
      <c r="AA158"/>
      <c r="AF158" s="543"/>
      <c r="AV158"/>
      <c r="AW158"/>
      <c r="AX158"/>
      <c r="AY158"/>
    </row>
    <row r="159" spans="5:51" s="132" customFormat="1">
      <c r="E159" s="543"/>
      <c r="F159"/>
      <c r="G159"/>
      <c r="I159" s="543"/>
      <c r="O159" s="543"/>
      <c r="P159"/>
      <c r="R159"/>
      <c r="U159"/>
      <c r="V159" s="543"/>
      <c r="AA159"/>
      <c r="AF159" s="543"/>
      <c r="AV159"/>
      <c r="AW159"/>
      <c r="AX159"/>
      <c r="AY159"/>
    </row>
    <row r="160" spans="5:51" s="132" customFormat="1">
      <c r="E160" s="543"/>
      <c r="F160"/>
      <c r="G160"/>
      <c r="I160" s="543"/>
      <c r="O160" s="543"/>
      <c r="P160"/>
      <c r="R160"/>
      <c r="U160"/>
      <c r="V160" s="543"/>
      <c r="AA160"/>
      <c r="AF160" s="543"/>
      <c r="AV160"/>
      <c r="AW160"/>
      <c r="AX160"/>
      <c r="AY160"/>
    </row>
    <row r="161" spans="5:51" s="132" customFormat="1">
      <c r="E161" s="543"/>
      <c r="F161"/>
      <c r="G161"/>
      <c r="I161" s="543"/>
      <c r="O161" s="543"/>
      <c r="P161"/>
      <c r="R161"/>
      <c r="U161"/>
      <c r="V161" s="543"/>
      <c r="AA161"/>
      <c r="AF161" s="543"/>
      <c r="AV161"/>
      <c r="AW161"/>
      <c r="AX161"/>
      <c r="AY161"/>
    </row>
    <row r="162" spans="5:51" s="132" customFormat="1">
      <c r="E162" s="543"/>
      <c r="F162"/>
      <c r="G162"/>
      <c r="I162" s="543"/>
      <c r="O162" s="543"/>
      <c r="P162"/>
      <c r="R162"/>
      <c r="U162"/>
      <c r="V162" s="543"/>
      <c r="AA162"/>
      <c r="AF162" s="543"/>
      <c r="AV162"/>
      <c r="AW162"/>
      <c r="AX162"/>
      <c r="AY162"/>
    </row>
    <row r="163" spans="5:51" s="132" customFormat="1">
      <c r="E163" s="543"/>
      <c r="F163"/>
      <c r="G163"/>
      <c r="I163" s="543"/>
      <c r="O163" s="543"/>
      <c r="P163"/>
      <c r="R163"/>
      <c r="U163"/>
      <c r="V163" s="543"/>
      <c r="AA163"/>
      <c r="AF163" s="543"/>
      <c r="AV163"/>
      <c r="AW163"/>
      <c r="AX163"/>
      <c r="AY163"/>
    </row>
    <row r="164" spans="5:51" s="132" customFormat="1">
      <c r="E164" s="543"/>
      <c r="F164"/>
      <c r="G164"/>
      <c r="I164" s="543"/>
      <c r="O164" s="543"/>
      <c r="P164"/>
      <c r="R164"/>
      <c r="U164"/>
      <c r="V164" s="543"/>
      <c r="AA164"/>
      <c r="AF164" s="543"/>
      <c r="AV164"/>
      <c r="AW164"/>
      <c r="AX164"/>
      <c r="AY164"/>
    </row>
    <row r="165" spans="5:51" s="132" customFormat="1">
      <c r="E165" s="543"/>
      <c r="F165"/>
      <c r="G165"/>
      <c r="I165" s="543"/>
      <c r="O165" s="543"/>
      <c r="P165"/>
      <c r="R165"/>
      <c r="U165"/>
      <c r="V165" s="543"/>
      <c r="AA165"/>
      <c r="AF165" s="543"/>
      <c r="AV165"/>
      <c r="AW165"/>
      <c r="AX165"/>
      <c r="AY165"/>
    </row>
    <row r="166" spans="5:51" s="132" customFormat="1">
      <c r="E166" s="543"/>
      <c r="F166"/>
      <c r="G166"/>
      <c r="I166" s="543"/>
      <c r="O166" s="543"/>
      <c r="P166"/>
      <c r="R166"/>
      <c r="U166"/>
      <c r="V166" s="543"/>
      <c r="AA166"/>
      <c r="AF166" s="543"/>
      <c r="AV166"/>
      <c r="AW166"/>
      <c r="AX166"/>
      <c r="AY166"/>
    </row>
    <row r="167" spans="5:51" s="132" customFormat="1">
      <c r="E167" s="543"/>
      <c r="F167"/>
      <c r="G167"/>
      <c r="I167" s="543"/>
      <c r="O167" s="543"/>
      <c r="P167"/>
      <c r="R167"/>
      <c r="U167"/>
      <c r="V167" s="543"/>
      <c r="AA167"/>
      <c r="AF167" s="543"/>
      <c r="AV167"/>
      <c r="AW167"/>
      <c r="AX167"/>
      <c r="AY167"/>
    </row>
    <row r="168" spans="5:51" s="132" customFormat="1">
      <c r="E168" s="543"/>
      <c r="F168"/>
      <c r="G168"/>
      <c r="I168" s="543"/>
      <c r="O168" s="543"/>
      <c r="P168"/>
      <c r="R168"/>
      <c r="U168"/>
      <c r="V168" s="543"/>
      <c r="AA168"/>
      <c r="AF168" s="543"/>
      <c r="AV168"/>
      <c r="AW168"/>
      <c r="AX168"/>
      <c r="AY168"/>
    </row>
    <row r="169" spans="5:51" s="132" customFormat="1">
      <c r="E169" s="543"/>
      <c r="F169"/>
      <c r="G169"/>
      <c r="I169" s="543"/>
      <c r="O169" s="543"/>
      <c r="P169"/>
      <c r="R169"/>
      <c r="U169"/>
      <c r="V169" s="543"/>
      <c r="AA169"/>
      <c r="AF169" s="543"/>
      <c r="AV169"/>
      <c r="AW169"/>
      <c r="AX169"/>
      <c r="AY169"/>
    </row>
    <row r="170" spans="5:51" s="132" customFormat="1">
      <c r="E170" s="543"/>
      <c r="F170"/>
      <c r="G170"/>
      <c r="I170" s="543"/>
      <c r="O170" s="543"/>
      <c r="P170"/>
      <c r="R170"/>
      <c r="U170"/>
      <c r="V170" s="543"/>
      <c r="AA170"/>
      <c r="AF170" s="543"/>
      <c r="AV170"/>
      <c r="AW170"/>
      <c r="AX170"/>
      <c r="AY170"/>
    </row>
    <row r="171" spans="5:51" s="132" customFormat="1">
      <c r="E171" s="543"/>
      <c r="F171"/>
      <c r="G171"/>
      <c r="I171" s="543"/>
      <c r="O171" s="543"/>
      <c r="P171"/>
      <c r="R171"/>
      <c r="U171"/>
      <c r="V171" s="543"/>
      <c r="AA171"/>
      <c r="AF171" s="543"/>
      <c r="AV171"/>
      <c r="AW171"/>
      <c r="AX171"/>
      <c r="AY171"/>
    </row>
    <row r="172" spans="5:51" s="132" customFormat="1">
      <c r="E172" s="543"/>
      <c r="F172"/>
      <c r="G172"/>
      <c r="I172" s="543"/>
      <c r="O172" s="543"/>
      <c r="P172"/>
      <c r="R172"/>
      <c r="U172"/>
      <c r="V172" s="543"/>
      <c r="AA172"/>
      <c r="AF172" s="543"/>
      <c r="AV172"/>
      <c r="AW172"/>
      <c r="AX172"/>
      <c r="AY172"/>
    </row>
    <row r="173" spans="5:51" s="132" customFormat="1">
      <c r="E173" s="543"/>
      <c r="F173"/>
      <c r="G173"/>
      <c r="I173" s="543"/>
      <c r="O173" s="543"/>
      <c r="P173"/>
      <c r="R173"/>
      <c r="U173"/>
      <c r="V173" s="543"/>
      <c r="AA173"/>
      <c r="AF173" s="543"/>
      <c r="AV173"/>
      <c r="AW173"/>
      <c r="AX173"/>
      <c r="AY173"/>
    </row>
    <row r="174" spans="5:51" s="132" customFormat="1">
      <c r="E174" s="543"/>
      <c r="F174"/>
      <c r="G174"/>
      <c r="I174" s="543"/>
      <c r="O174" s="543"/>
      <c r="P174"/>
      <c r="R174"/>
      <c r="U174"/>
      <c r="V174" s="543"/>
      <c r="AA174"/>
      <c r="AF174" s="543"/>
      <c r="AV174"/>
      <c r="AW174"/>
      <c r="AX174"/>
      <c r="AY174"/>
    </row>
    <row r="175" spans="5:51" s="132" customFormat="1">
      <c r="E175" s="543"/>
      <c r="F175"/>
      <c r="G175"/>
      <c r="I175" s="543"/>
      <c r="O175" s="543"/>
      <c r="P175"/>
      <c r="R175"/>
      <c r="U175"/>
      <c r="V175" s="543"/>
      <c r="AA175"/>
      <c r="AF175" s="543"/>
      <c r="AV175"/>
      <c r="AW175"/>
      <c r="AX175"/>
      <c r="AY175"/>
    </row>
    <row r="176" spans="5:51" s="132" customFormat="1">
      <c r="E176" s="543"/>
      <c r="F176"/>
      <c r="G176"/>
      <c r="I176" s="543"/>
      <c r="O176" s="543"/>
      <c r="P176"/>
      <c r="R176"/>
      <c r="U176"/>
      <c r="V176" s="543"/>
      <c r="AA176"/>
      <c r="AF176" s="543"/>
      <c r="AV176"/>
      <c r="AW176"/>
      <c r="AX176"/>
      <c r="AY176"/>
    </row>
    <row r="177" spans="5:51" s="132" customFormat="1">
      <c r="E177" s="543"/>
      <c r="F177"/>
      <c r="G177"/>
      <c r="I177" s="543"/>
      <c r="O177" s="543"/>
      <c r="P177"/>
      <c r="R177"/>
      <c r="U177"/>
      <c r="V177" s="543"/>
      <c r="AA177"/>
      <c r="AF177" s="543"/>
      <c r="AV177"/>
      <c r="AW177"/>
      <c r="AX177"/>
      <c r="AY177"/>
    </row>
    <row r="178" spans="5:51" s="132" customFormat="1">
      <c r="E178" s="543"/>
      <c r="F178"/>
      <c r="G178"/>
      <c r="I178" s="543"/>
      <c r="O178" s="543"/>
      <c r="P178"/>
      <c r="R178"/>
      <c r="U178"/>
      <c r="V178" s="543"/>
      <c r="AA178"/>
      <c r="AF178" s="543"/>
      <c r="AV178"/>
      <c r="AW178"/>
      <c r="AX178"/>
      <c r="AY178"/>
    </row>
    <row r="179" spans="5:51" s="132" customFormat="1">
      <c r="E179" s="543"/>
      <c r="F179"/>
      <c r="G179"/>
      <c r="I179" s="543"/>
      <c r="O179" s="543"/>
      <c r="P179"/>
      <c r="R179"/>
      <c r="U179"/>
      <c r="V179" s="543"/>
      <c r="AA179"/>
      <c r="AF179" s="543"/>
      <c r="AV179"/>
      <c r="AW179"/>
      <c r="AX179"/>
      <c r="AY179"/>
    </row>
    <row r="180" spans="5:51" s="132" customFormat="1">
      <c r="E180" s="543"/>
      <c r="F180"/>
      <c r="G180"/>
      <c r="I180" s="543"/>
      <c r="O180" s="543"/>
      <c r="P180"/>
      <c r="R180"/>
      <c r="U180"/>
      <c r="V180" s="543"/>
      <c r="AA180"/>
      <c r="AF180" s="543"/>
      <c r="AV180"/>
      <c r="AW180"/>
      <c r="AX180"/>
      <c r="AY180"/>
    </row>
    <row r="181" spans="5:51" s="132" customFormat="1">
      <c r="E181" s="543"/>
      <c r="F181"/>
      <c r="G181"/>
      <c r="I181" s="543"/>
      <c r="O181" s="543"/>
      <c r="P181"/>
      <c r="R181"/>
      <c r="U181"/>
      <c r="V181" s="543"/>
      <c r="AA181"/>
      <c r="AF181" s="543"/>
      <c r="AV181"/>
      <c r="AW181"/>
      <c r="AX181"/>
      <c r="AY181"/>
    </row>
    <row r="182" spans="5:51" s="132" customFormat="1">
      <c r="E182" s="543"/>
      <c r="F182"/>
      <c r="G182"/>
      <c r="I182" s="543"/>
      <c r="O182" s="543"/>
      <c r="P182"/>
      <c r="R182"/>
      <c r="U182"/>
      <c r="V182" s="543"/>
      <c r="AA182"/>
      <c r="AF182" s="543"/>
      <c r="AV182"/>
      <c r="AW182"/>
      <c r="AX182"/>
      <c r="AY182"/>
    </row>
    <row r="183" spans="5:51" s="132" customFormat="1">
      <c r="E183" s="543"/>
      <c r="F183"/>
      <c r="G183"/>
      <c r="I183" s="543"/>
      <c r="O183" s="543"/>
      <c r="P183"/>
      <c r="R183"/>
      <c r="U183"/>
      <c r="V183" s="543"/>
      <c r="AA183"/>
      <c r="AF183" s="543"/>
      <c r="AV183"/>
      <c r="AW183"/>
      <c r="AX183"/>
      <c r="AY183"/>
    </row>
    <row r="184" spans="5:51" s="132" customFormat="1">
      <c r="E184" s="543"/>
      <c r="F184"/>
      <c r="G184"/>
      <c r="I184" s="543"/>
      <c r="O184" s="543"/>
      <c r="P184"/>
      <c r="R184"/>
      <c r="U184"/>
      <c r="V184" s="543"/>
      <c r="AA184"/>
      <c r="AF184" s="543"/>
      <c r="AV184"/>
      <c r="AW184"/>
      <c r="AX184"/>
      <c r="AY184"/>
    </row>
    <row r="185" spans="5:51" s="132" customFormat="1">
      <c r="E185" s="543"/>
      <c r="F185"/>
      <c r="G185"/>
      <c r="I185" s="543"/>
      <c r="O185" s="543"/>
      <c r="P185"/>
      <c r="R185"/>
      <c r="U185"/>
      <c r="V185" s="543"/>
      <c r="AA185"/>
      <c r="AF185" s="543"/>
      <c r="AV185"/>
      <c r="AW185"/>
      <c r="AX185"/>
      <c r="AY185"/>
    </row>
    <row r="186" spans="5:51" s="132" customFormat="1">
      <c r="E186" s="543"/>
      <c r="F186"/>
      <c r="G186"/>
      <c r="I186" s="543"/>
      <c r="O186" s="543"/>
      <c r="P186"/>
      <c r="R186"/>
      <c r="U186"/>
      <c r="V186" s="543"/>
      <c r="AA186"/>
      <c r="AF186" s="543"/>
      <c r="AV186"/>
      <c r="AW186"/>
      <c r="AX186"/>
      <c r="AY186"/>
    </row>
    <row r="187" spans="5:51" s="132" customFormat="1">
      <c r="E187" s="543"/>
      <c r="F187"/>
      <c r="G187"/>
      <c r="I187" s="543"/>
      <c r="O187" s="543"/>
      <c r="P187"/>
      <c r="R187"/>
      <c r="U187"/>
      <c r="V187" s="543"/>
      <c r="AA187"/>
      <c r="AF187" s="543"/>
      <c r="AV187"/>
      <c r="AW187"/>
      <c r="AX187"/>
      <c r="AY187"/>
    </row>
    <row r="188" spans="5:51" s="132" customFormat="1">
      <c r="E188" s="543"/>
      <c r="F188"/>
      <c r="G188"/>
      <c r="I188" s="543"/>
      <c r="O188" s="543"/>
      <c r="P188"/>
      <c r="R188"/>
      <c r="U188"/>
      <c r="V188" s="543"/>
      <c r="AA188"/>
      <c r="AF188" s="543"/>
      <c r="AV188"/>
      <c r="AW188"/>
      <c r="AX188"/>
      <c r="AY188"/>
    </row>
    <row r="189" spans="5:51" s="132" customFormat="1">
      <c r="E189" s="543"/>
      <c r="F189"/>
      <c r="G189"/>
      <c r="I189" s="543"/>
      <c r="O189" s="543"/>
      <c r="P189"/>
      <c r="R189"/>
      <c r="U189"/>
      <c r="V189" s="543"/>
      <c r="AA189"/>
      <c r="AF189" s="543"/>
      <c r="AV189"/>
      <c r="AW189"/>
      <c r="AX189"/>
      <c r="AY189"/>
    </row>
    <row r="190" spans="5:51" s="132" customFormat="1">
      <c r="E190" s="543"/>
      <c r="F190"/>
      <c r="G190"/>
      <c r="I190" s="543"/>
      <c r="O190" s="543"/>
      <c r="P190"/>
      <c r="R190"/>
      <c r="U190"/>
      <c r="V190" s="543"/>
      <c r="AA190"/>
      <c r="AF190" s="543"/>
      <c r="AV190"/>
      <c r="AW190"/>
      <c r="AX190"/>
      <c r="AY190"/>
    </row>
    <row r="191" spans="5:51" s="132" customFormat="1">
      <c r="E191" s="543"/>
      <c r="F191"/>
      <c r="G191"/>
      <c r="I191" s="543"/>
      <c r="O191" s="543"/>
      <c r="P191"/>
      <c r="R191"/>
      <c r="U191"/>
      <c r="V191" s="543"/>
      <c r="AA191"/>
      <c r="AF191" s="543"/>
      <c r="AV191"/>
      <c r="AW191"/>
      <c r="AX191"/>
      <c r="AY191"/>
    </row>
    <row r="192" spans="5:51" s="132" customFormat="1">
      <c r="E192" s="543"/>
      <c r="F192"/>
      <c r="G192"/>
      <c r="I192" s="543"/>
      <c r="O192" s="543"/>
      <c r="P192"/>
      <c r="R192"/>
      <c r="U192"/>
      <c r="V192" s="543"/>
      <c r="AA192"/>
      <c r="AF192" s="543"/>
      <c r="AV192"/>
      <c r="AW192"/>
      <c r="AX192"/>
      <c r="AY192"/>
    </row>
    <row r="193" spans="5:51" s="132" customFormat="1">
      <c r="E193" s="543"/>
      <c r="F193"/>
      <c r="G193"/>
      <c r="I193" s="543"/>
      <c r="O193" s="543"/>
      <c r="P193"/>
      <c r="R193"/>
      <c r="U193"/>
      <c r="V193" s="543"/>
      <c r="AA193"/>
      <c r="AF193" s="543"/>
      <c r="AV193"/>
      <c r="AW193"/>
      <c r="AX193"/>
      <c r="AY193"/>
    </row>
    <row r="194" spans="5:51" s="132" customFormat="1">
      <c r="E194" s="543"/>
      <c r="F194"/>
      <c r="G194"/>
      <c r="I194" s="543"/>
      <c r="O194" s="543"/>
      <c r="P194"/>
      <c r="R194"/>
      <c r="U194"/>
      <c r="V194" s="543"/>
      <c r="AA194"/>
      <c r="AF194" s="543"/>
      <c r="AV194"/>
      <c r="AW194"/>
      <c r="AX194"/>
      <c r="AY194"/>
    </row>
    <row r="195" spans="5:51" s="132" customFormat="1">
      <c r="E195" s="543"/>
      <c r="F195"/>
      <c r="G195"/>
      <c r="I195" s="543"/>
      <c r="O195" s="543"/>
      <c r="P195"/>
      <c r="R195"/>
      <c r="U195"/>
      <c r="V195" s="543"/>
      <c r="AA195"/>
      <c r="AF195" s="543"/>
      <c r="AV195"/>
      <c r="AW195"/>
      <c r="AX195"/>
      <c r="AY195"/>
    </row>
    <row r="196" spans="5:51" s="132" customFormat="1">
      <c r="E196" s="543"/>
      <c r="F196"/>
      <c r="G196"/>
      <c r="I196" s="543"/>
      <c r="O196" s="543"/>
      <c r="P196"/>
      <c r="R196"/>
      <c r="U196"/>
      <c r="V196" s="543"/>
      <c r="AA196"/>
      <c r="AF196" s="543"/>
      <c r="AV196"/>
      <c r="AW196"/>
      <c r="AX196"/>
      <c r="AY196"/>
    </row>
    <row r="197" spans="5:51" s="132" customFormat="1">
      <c r="E197" s="543"/>
      <c r="F197"/>
      <c r="G197"/>
      <c r="I197" s="543"/>
      <c r="O197" s="543"/>
      <c r="P197"/>
      <c r="R197"/>
      <c r="U197"/>
      <c r="V197" s="543"/>
      <c r="AA197"/>
      <c r="AF197" s="543"/>
      <c r="AV197"/>
      <c r="AW197"/>
      <c r="AX197"/>
      <c r="AY197"/>
    </row>
    <row r="198" spans="5:51" s="132" customFormat="1">
      <c r="E198" s="543"/>
      <c r="F198"/>
      <c r="G198"/>
      <c r="I198" s="543"/>
      <c r="O198" s="543"/>
      <c r="P198"/>
      <c r="R198"/>
      <c r="U198"/>
      <c r="V198" s="543"/>
      <c r="AA198"/>
      <c r="AF198" s="543"/>
      <c r="AV198"/>
      <c r="AW198"/>
      <c r="AX198"/>
      <c r="AY198"/>
    </row>
    <row r="199" spans="5:51" s="132" customFormat="1">
      <c r="E199" s="543"/>
      <c r="F199"/>
      <c r="G199"/>
      <c r="I199" s="543"/>
      <c r="O199" s="543"/>
      <c r="P199"/>
      <c r="R199"/>
      <c r="U199"/>
      <c r="V199" s="543"/>
      <c r="AA199"/>
      <c r="AF199" s="543"/>
      <c r="AV199"/>
      <c r="AW199"/>
      <c r="AX199"/>
      <c r="AY199"/>
    </row>
    <row r="200" spans="5:51" s="132" customFormat="1">
      <c r="E200" s="543"/>
      <c r="F200"/>
      <c r="G200"/>
      <c r="I200" s="543"/>
      <c r="O200" s="543"/>
      <c r="P200"/>
      <c r="R200"/>
      <c r="U200"/>
      <c r="V200" s="543"/>
      <c r="AA200"/>
      <c r="AF200" s="543"/>
      <c r="AV200"/>
      <c r="AW200"/>
      <c r="AX200"/>
      <c r="AY200"/>
    </row>
    <row r="201" spans="5:51" s="132" customFormat="1">
      <c r="E201" s="543"/>
      <c r="F201"/>
      <c r="G201"/>
      <c r="I201" s="543"/>
      <c r="O201" s="543"/>
      <c r="P201"/>
      <c r="R201"/>
      <c r="U201"/>
      <c r="V201" s="543"/>
      <c r="AA201"/>
      <c r="AF201" s="543"/>
      <c r="AV201"/>
      <c r="AW201"/>
      <c r="AX201"/>
      <c r="AY201"/>
    </row>
    <row r="202" spans="5:51" s="132" customFormat="1">
      <c r="E202" s="543"/>
      <c r="F202"/>
      <c r="G202"/>
      <c r="I202" s="543"/>
      <c r="O202" s="543"/>
      <c r="P202"/>
      <c r="R202"/>
      <c r="U202"/>
      <c r="V202" s="543"/>
      <c r="AA202"/>
      <c r="AF202" s="543"/>
      <c r="AV202"/>
      <c r="AW202"/>
      <c r="AX202"/>
      <c r="AY202"/>
    </row>
    <row r="203" spans="5:51" s="132" customFormat="1">
      <c r="E203" s="543"/>
      <c r="F203"/>
      <c r="G203"/>
      <c r="I203" s="543"/>
      <c r="O203" s="543"/>
      <c r="P203"/>
      <c r="R203"/>
      <c r="U203"/>
      <c r="V203" s="543"/>
      <c r="AA203"/>
      <c r="AF203" s="543"/>
      <c r="AV203"/>
      <c r="AW203"/>
      <c r="AX203"/>
      <c r="AY203"/>
    </row>
    <row r="204" spans="5:51" s="132" customFormat="1">
      <c r="E204" s="543"/>
      <c r="F204"/>
      <c r="G204"/>
      <c r="I204" s="543"/>
      <c r="O204" s="543"/>
      <c r="P204"/>
      <c r="R204"/>
      <c r="U204"/>
      <c r="V204" s="543"/>
      <c r="AA204"/>
      <c r="AF204" s="543"/>
      <c r="AV204"/>
      <c r="AW204"/>
      <c r="AX204"/>
      <c r="AY204"/>
    </row>
    <row r="205" spans="5:51" s="132" customFormat="1">
      <c r="E205" s="543"/>
      <c r="F205"/>
      <c r="G205"/>
      <c r="I205" s="543"/>
      <c r="O205" s="543"/>
      <c r="P205"/>
      <c r="R205"/>
      <c r="U205"/>
      <c r="V205" s="543"/>
      <c r="AA205"/>
      <c r="AF205" s="543"/>
      <c r="AV205"/>
      <c r="AW205"/>
      <c r="AX205"/>
      <c r="AY205"/>
    </row>
    <row r="206" spans="5:51" s="132" customFormat="1">
      <c r="E206" s="543"/>
      <c r="F206"/>
      <c r="G206"/>
      <c r="I206" s="543"/>
      <c r="O206" s="543"/>
      <c r="P206"/>
      <c r="R206"/>
      <c r="U206"/>
      <c r="V206" s="543"/>
      <c r="AA206"/>
      <c r="AF206" s="543"/>
      <c r="AV206"/>
      <c r="AW206"/>
      <c r="AX206"/>
      <c r="AY206"/>
    </row>
    <row r="207" spans="5:51" s="132" customFormat="1">
      <c r="E207" s="543"/>
      <c r="F207"/>
      <c r="G207"/>
      <c r="I207" s="543"/>
      <c r="O207" s="543"/>
      <c r="P207"/>
      <c r="R207"/>
      <c r="U207"/>
      <c r="V207" s="543"/>
      <c r="AA207"/>
      <c r="AF207" s="543"/>
      <c r="AV207"/>
      <c r="AW207"/>
      <c r="AX207"/>
      <c r="AY207"/>
    </row>
    <row r="208" spans="5:51" s="132" customFormat="1">
      <c r="E208" s="543"/>
      <c r="F208"/>
      <c r="G208"/>
      <c r="I208" s="543"/>
      <c r="O208" s="543"/>
      <c r="P208"/>
      <c r="R208"/>
      <c r="U208"/>
      <c r="V208" s="543"/>
      <c r="AA208"/>
      <c r="AF208" s="543"/>
      <c r="AV208"/>
      <c r="AW208"/>
      <c r="AX208"/>
      <c r="AY208"/>
    </row>
    <row r="209" spans="5:51" s="132" customFormat="1">
      <c r="E209" s="543"/>
      <c r="F209"/>
      <c r="G209"/>
      <c r="I209" s="543"/>
      <c r="O209" s="543"/>
      <c r="P209"/>
      <c r="R209"/>
      <c r="U209"/>
      <c r="V209" s="543"/>
      <c r="AA209"/>
      <c r="AF209" s="543"/>
      <c r="AV209"/>
      <c r="AW209"/>
      <c r="AX209"/>
      <c r="AY209"/>
    </row>
    <row r="210" spans="5:51" s="132" customFormat="1">
      <c r="E210" s="543"/>
      <c r="F210"/>
      <c r="G210"/>
      <c r="I210" s="543"/>
      <c r="O210" s="543"/>
      <c r="P210"/>
      <c r="R210"/>
      <c r="U210"/>
      <c r="V210" s="543"/>
      <c r="AA210"/>
      <c r="AF210" s="543"/>
      <c r="AV210"/>
      <c r="AW210"/>
      <c r="AX210"/>
      <c r="AY210"/>
    </row>
    <row r="211" spans="5:51" s="132" customFormat="1">
      <c r="E211" s="543"/>
      <c r="F211"/>
      <c r="G211"/>
      <c r="I211" s="543"/>
      <c r="O211" s="543"/>
      <c r="P211"/>
      <c r="R211"/>
      <c r="U211"/>
      <c r="V211" s="543"/>
      <c r="AA211"/>
      <c r="AF211" s="543"/>
      <c r="AV211"/>
      <c r="AW211"/>
      <c r="AX211"/>
      <c r="AY211"/>
    </row>
    <row r="212" spans="5:51" s="132" customFormat="1">
      <c r="E212" s="543"/>
      <c r="F212"/>
      <c r="G212"/>
      <c r="I212" s="543"/>
      <c r="O212" s="543"/>
      <c r="P212"/>
      <c r="R212"/>
      <c r="U212"/>
      <c r="V212" s="543"/>
      <c r="AA212"/>
      <c r="AF212" s="543"/>
      <c r="AV212"/>
      <c r="AW212"/>
      <c r="AX212"/>
      <c r="AY212"/>
    </row>
    <row r="213" spans="5:51" s="132" customFormat="1">
      <c r="E213" s="543"/>
      <c r="F213"/>
      <c r="G213"/>
      <c r="I213" s="543"/>
      <c r="O213" s="543"/>
      <c r="P213"/>
      <c r="R213"/>
      <c r="U213"/>
      <c r="V213" s="543"/>
      <c r="AA213"/>
      <c r="AF213" s="543"/>
      <c r="AV213"/>
      <c r="AW213"/>
      <c r="AX213"/>
      <c r="AY213"/>
    </row>
    <row r="214" spans="5:51" s="132" customFormat="1">
      <c r="E214" s="543"/>
      <c r="F214"/>
      <c r="G214"/>
      <c r="I214" s="543"/>
      <c r="O214" s="543"/>
      <c r="P214"/>
      <c r="R214"/>
      <c r="U214"/>
      <c r="V214" s="543"/>
      <c r="AA214"/>
      <c r="AF214" s="543"/>
      <c r="AV214"/>
      <c r="AW214"/>
      <c r="AX214"/>
      <c r="AY214"/>
    </row>
    <row r="215" spans="5:51" s="132" customFormat="1">
      <c r="E215" s="543"/>
      <c r="F215"/>
      <c r="G215"/>
      <c r="I215" s="543"/>
      <c r="O215" s="543"/>
      <c r="P215"/>
      <c r="R215"/>
      <c r="U215"/>
      <c r="V215" s="543"/>
      <c r="AA215"/>
      <c r="AF215" s="543"/>
      <c r="AV215"/>
      <c r="AW215"/>
      <c r="AX215"/>
      <c r="AY215"/>
    </row>
    <row r="216" spans="5:51" s="132" customFormat="1">
      <c r="E216" s="543"/>
      <c r="F216"/>
      <c r="G216"/>
      <c r="I216" s="543"/>
      <c r="O216" s="543"/>
      <c r="P216"/>
      <c r="R216"/>
      <c r="U216"/>
      <c r="V216" s="543"/>
      <c r="AA216"/>
      <c r="AF216" s="543"/>
      <c r="AV216"/>
      <c r="AW216"/>
      <c r="AX216"/>
      <c r="AY216"/>
    </row>
    <row r="217" spans="5:51" s="132" customFormat="1">
      <c r="E217" s="543"/>
      <c r="F217"/>
      <c r="G217"/>
      <c r="I217" s="543"/>
      <c r="O217" s="543"/>
      <c r="P217"/>
      <c r="R217"/>
      <c r="U217"/>
      <c r="V217" s="543"/>
      <c r="AA217"/>
      <c r="AF217" s="543"/>
      <c r="AV217"/>
      <c r="AW217"/>
      <c r="AX217"/>
      <c r="AY217"/>
    </row>
    <row r="218" spans="5:51" s="132" customFormat="1">
      <c r="E218" s="543"/>
      <c r="F218"/>
      <c r="G218"/>
      <c r="I218" s="543"/>
      <c r="O218" s="543"/>
      <c r="P218"/>
      <c r="R218"/>
      <c r="U218"/>
      <c r="V218" s="543"/>
      <c r="AA218"/>
      <c r="AF218" s="543"/>
      <c r="AV218"/>
      <c r="AW218"/>
      <c r="AX218"/>
      <c r="AY218"/>
    </row>
    <row r="219" spans="5:51" s="132" customFormat="1">
      <c r="E219" s="543"/>
      <c r="F219"/>
      <c r="G219"/>
      <c r="I219" s="543"/>
      <c r="O219" s="543"/>
      <c r="P219"/>
      <c r="R219"/>
      <c r="U219"/>
      <c r="V219" s="543"/>
      <c r="AA219"/>
      <c r="AF219" s="543"/>
      <c r="AV219"/>
      <c r="AW219"/>
      <c r="AX219"/>
      <c r="AY219"/>
    </row>
    <row r="220" spans="5:51" s="132" customFormat="1">
      <c r="E220" s="543"/>
      <c r="F220"/>
      <c r="G220"/>
      <c r="I220" s="543"/>
      <c r="O220" s="543"/>
      <c r="P220"/>
      <c r="R220"/>
      <c r="U220"/>
      <c r="V220" s="543"/>
      <c r="AA220"/>
      <c r="AF220" s="543"/>
      <c r="AV220"/>
      <c r="AW220"/>
      <c r="AX220"/>
      <c r="AY220"/>
    </row>
    <row r="221" spans="5:51" s="132" customFormat="1">
      <c r="E221" s="543"/>
      <c r="F221"/>
      <c r="G221"/>
      <c r="I221" s="543"/>
      <c r="O221" s="543"/>
      <c r="P221"/>
      <c r="R221"/>
      <c r="U221"/>
      <c r="V221" s="543"/>
      <c r="AA221"/>
      <c r="AF221" s="543"/>
      <c r="AV221"/>
      <c r="AW221"/>
      <c r="AX221"/>
      <c r="AY221"/>
    </row>
    <row r="222" spans="5:51" s="132" customFormat="1">
      <c r="E222" s="543"/>
      <c r="F222"/>
      <c r="G222"/>
      <c r="I222" s="543"/>
      <c r="O222" s="543"/>
      <c r="P222"/>
      <c r="R222"/>
      <c r="U222"/>
      <c r="V222" s="543"/>
      <c r="AA222"/>
      <c r="AF222" s="543"/>
      <c r="AV222"/>
      <c r="AW222"/>
      <c r="AX222"/>
      <c r="AY222"/>
    </row>
    <row r="223" spans="5:51" s="132" customFormat="1">
      <c r="E223" s="543"/>
      <c r="F223"/>
      <c r="G223"/>
      <c r="I223" s="543"/>
      <c r="O223" s="543"/>
      <c r="P223"/>
      <c r="R223"/>
      <c r="U223"/>
      <c r="V223" s="543"/>
      <c r="AA223"/>
      <c r="AF223" s="543"/>
      <c r="AV223"/>
      <c r="AW223"/>
      <c r="AX223"/>
      <c r="AY223"/>
    </row>
    <row r="224" spans="5:51" s="132" customFormat="1">
      <c r="E224" s="543"/>
      <c r="F224"/>
      <c r="G224"/>
      <c r="I224" s="543"/>
      <c r="O224" s="543"/>
      <c r="P224"/>
      <c r="R224"/>
      <c r="U224"/>
      <c r="V224" s="543"/>
      <c r="AA224"/>
      <c r="AF224" s="543"/>
      <c r="AV224"/>
      <c r="AW224"/>
      <c r="AX224"/>
      <c r="AY224"/>
    </row>
    <row r="225" spans="5:51" s="132" customFormat="1">
      <c r="E225" s="543"/>
      <c r="F225"/>
      <c r="G225"/>
      <c r="I225" s="543"/>
      <c r="O225" s="543"/>
      <c r="P225"/>
      <c r="R225"/>
      <c r="U225"/>
      <c r="V225" s="543"/>
      <c r="AA225"/>
      <c r="AF225" s="543"/>
      <c r="AV225"/>
      <c r="AW225"/>
      <c r="AX225"/>
      <c r="AY225"/>
    </row>
    <row r="226" spans="5:51" s="132" customFormat="1">
      <c r="E226" s="543"/>
      <c r="F226"/>
      <c r="G226"/>
      <c r="I226" s="543"/>
      <c r="O226" s="543"/>
      <c r="P226"/>
      <c r="R226"/>
      <c r="U226"/>
      <c r="V226" s="543"/>
      <c r="AA226"/>
      <c r="AF226" s="543"/>
      <c r="AV226"/>
      <c r="AW226"/>
      <c r="AX226"/>
      <c r="AY226"/>
    </row>
    <row r="227" spans="5:51" s="132" customFormat="1">
      <c r="E227" s="543"/>
      <c r="F227"/>
      <c r="G227"/>
      <c r="I227" s="543"/>
      <c r="O227" s="543"/>
      <c r="P227"/>
      <c r="R227"/>
      <c r="U227"/>
      <c r="V227" s="543"/>
      <c r="AA227"/>
      <c r="AF227" s="543"/>
      <c r="AV227"/>
      <c r="AW227"/>
      <c r="AX227"/>
      <c r="AY227"/>
    </row>
    <row r="228" spans="5:51" s="132" customFormat="1">
      <c r="E228" s="543"/>
      <c r="F228"/>
      <c r="G228"/>
      <c r="I228" s="543"/>
      <c r="O228" s="543"/>
      <c r="P228"/>
      <c r="R228"/>
      <c r="U228"/>
      <c r="V228" s="543"/>
      <c r="AA228"/>
      <c r="AF228" s="543"/>
      <c r="AV228"/>
      <c r="AW228"/>
      <c r="AX228"/>
      <c r="AY228"/>
    </row>
    <row r="229" spans="5:51" s="132" customFormat="1">
      <c r="E229" s="543"/>
      <c r="F229"/>
      <c r="G229"/>
      <c r="I229" s="543"/>
      <c r="O229" s="543"/>
      <c r="P229"/>
      <c r="R229"/>
      <c r="U229"/>
      <c r="V229" s="543"/>
      <c r="AA229"/>
      <c r="AF229" s="543"/>
      <c r="AV229"/>
      <c r="AW229"/>
      <c r="AX229"/>
      <c r="AY229"/>
    </row>
    <row r="230" spans="5:51" s="132" customFormat="1">
      <c r="E230" s="543"/>
      <c r="F230"/>
      <c r="G230"/>
      <c r="I230" s="543"/>
      <c r="O230" s="543"/>
      <c r="P230"/>
      <c r="R230"/>
      <c r="U230"/>
      <c r="V230" s="543"/>
      <c r="AA230"/>
      <c r="AF230" s="543"/>
      <c r="AV230"/>
      <c r="AW230"/>
      <c r="AX230"/>
      <c r="AY230"/>
    </row>
    <row r="231" spans="5:51" s="132" customFormat="1">
      <c r="E231" s="543"/>
      <c r="F231"/>
      <c r="G231"/>
      <c r="I231" s="543"/>
      <c r="O231" s="543"/>
      <c r="P231"/>
      <c r="R231"/>
      <c r="U231"/>
      <c r="V231" s="543"/>
      <c r="AA231"/>
      <c r="AF231" s="543"/>
      <c r="AV231"/>
      <c r="AW231"/>
      <c r="AX231"/>
      <c r="AY231"/>
    </row>
    <row r="232" spans="5:51" s="132" customFormat="1">
      <c r="E232" s="543"/>
      <c r="F232"/>
      <c r="G232"/>
      <c r="I232" s="543"/>
      <c r="O232" s="543"/>
      <c r="P232"/>
      <c r="R232"/>
      <c r="U232"/>
      <c r="V232" s="543"/>
      <c r="AA232"/>
      <c r="AF232" s="543"/>
      <c r="AV232"/>
      <c r="AW232"/>
      <c r="AX232"/>
      <c r="AY232"/>
    </row>
    <row r="233" spans="5:51" s="132" customFormat="1">
      <c r="E233" s="543"/>
      <c r="F233"/>
      <c r="G233"/>
      <c r="I233" s="543"/>
      <c r="O233" s="543"/>
      <c r="P233"/>
      <c r="R233"/>
      <c r="U233"/>
      <c r="V233" s="543"/>
      <c r="AA233"/>
      <c r="AF233" s="543"/>
      <c r="AV233"/>
      <c r="AW233"/>
      <c r="AX233"/>
      <c r="AY233"/>
    </row>
    <row r="234" spans="5:51" s="132" customFormat="1">
      <c r="E234" s="543"/>
      <c r="F234"/>
      <c r="G234"/>
      <c r="I234" s="543"/>
      <c r="O234" s="543"/>
      <c r="P234"/>
      <c r="R234"/>
      <c r="U234"/>
      <c r="V234" s="543"/>
      <c r="AA234"/>
      <c r="AF234" s="543"/>
      <c r="AV234"/>
      <c r="AW234"/>
      <c r="AX234"/>
      <c r="AY234"/>
    </row>
    <row r="235" spans="5:51" s="132" customFormat="1">
      <c r="E235" s="543"/>
      <c r="F235"/>
      <c r="G235"/>
      <c r="I235" s="543"/>
      <c r="O235" s="543"/>
      <c r="P235"/>
      <c r="R235"/>
      <c r="U235"/>
      <c r="V235" s="543"/>
      <c r="AA235"/>
      <c r="AF235" s="543"/>
      <c r="AV235"/>
      <c r="AW235"/>
      <c r="AX235"/>
      <c r="AY235"/>
    </row>
    <row r="236" spans="5:51" s="132" customFormat="1">
      <c r="E236" s="543"/>
      <c r="F236"/>
      <c r="G236"/>
      <c r="I236" s="543"/>
      <c r="O236" s="543"/>
      <c r="P236"/>
      <c r="R236"/>
      <c r="U236"/>
      <c r="V236" s="543"/>
      <c r="AA236"/>
      <c r="AF236" s="543"/>
      <c r="AV236"/>
      <c r="AW236"/>
      <c r="AX236"/>
      <c r="AY236"/>
    </row>
    <row r="237" spans="5:51" s="132" customFormat="1">
      <c r="E237" s="543"/>
      <c r="F237"/>
      <c r="G237"/>
      <c r="I237" s="543"/>
      <c r="O237" s="543"/>
      <c r="P237"/>
      <c r="R237"/>
      <c r="U237"/>
      <c r="V237" s="543"/>
      <c r="AA237"/>
      <c r="AF237" s="543"/>
      <c r="AV237"/>
      <c r="AW237"/>
      <c r="AX237"/>
      <c r="AY237"/>
    </row>
    <row r="238" spans="5:51" s="132" customFormat="1">
      <c r="E238" s="543"/>
      <c r="F238"/>
      <c r="G238"/>
      <c r="I238" s="543"/>
      <c r="O238" s="543"/>
      <c r="P238"/>
      <c r="R238"/>
      <c r="U238"/>
      <c r="V238" s="543"/>
      <c r="AA238"/>
      <c r="AF238" s="543"/>
      <c r="AV238"/>
      <c r="AW238"/>
      <c r="AX238"/>
      <c r="AY238"/>
    </row>
    <row r="239" spans="5:51" s="132" customFormat="1">
      <c r="E239" s="543"/>
      <c r="F239"/>
      <c r="G239"/>
      <c r="I239" s="543"/>
      <c r="O239" s="543"/>
      <c r="P239"/>
      <c r="R239"/>
      <c r="U239"/>
      <c r="V239" s="543"/>
      <c r="AA239"/>
      <c r="AF239" s="543"/>
      <c r="AV239"/>
      <c r="AW239"/>
      <c r="AX239"/>
      <c r="AY239"/>
    </row>
    <row r="240" spans="5:51" s="132" customFormat="1">
      <c r="E240" s="543"/>
      <c r="F240"/>
      <c r="G240"/>
      <c r="I240" s="543"/>
      <c r="O240" s="543"/>
      <c r="P240"/>
      <c r="R240"/>
      <c r="U240"/>
      <c r="V240" s="543"/>
      <c r="AA240"/>
      <c r="AF240" s="543"/>
      <c r="AV240"/>
      <c r="AW240"/>
      <c r="AX240"/>
      <c r="AY240"/>
    </row>
    <row r="241" spans="5:51" s="132" customFormat="1">
      <c r="E241" s="543"/>
      <c r="F241"/>
      <c r="G241"/>
      <c r="I241" s="543"/>
      <c r="O241" s="543"/>
      <c r="P241"/>
      <c r="R241"/>
      <c r="U241"/>
      <c r="V241" s="543"/>
      <c r="AA241"/>
      <c r="AF241" s="543"/>
      <c r="AV241"/>
      <c r="AW241"/>
      <c r="AX241"/>
      <c r="AY241"/>
    </row>
    <row r="242" spans="5:51" s="132" customFormat="1">
      <c r="E242" s="543"/>
      <c r="F242"/>
      <c r="G242"/>
      <c r="I242" s="543"/>
      <c r="O242" s="543"/>
      <c r="P242"/>
      <c r="R242"/>
      <c r="U242"/>
      <c r="V242" s="543"/>
      <c r="AA242"/>
      <c r="AF242" s="543"/>
      <c r="AV242"/>
      <c r="AW242"/>
      <c r="AX242"/>
      <c r="AY242"/>
    </row>
    <row r="243" spans="5:51" s="132" customFormat="1">
      <c r="E243" s="543"/>
      <c r="F243"/>
      <c r="G243"/>
      <c r="I243" s="543"/>
      <c r="O243" s="543"/>
      <c r="P243"/>
      <c r="R243"/>
      <c r="U243"/>
      <c r="V243" s="543"/>
      <c r="AA243"/>
      <c r="AF243" s="543"/>
      <c r="AV243"/>
      <c r="AW243"/>
      <c r="AX243"/>
      <c r="AY243"/>
    </row>
    <row r="244" spans="5:51" s="132" customFormat="1">
      <c r="E244" s="543"/>
      <c r="F244"/>
      <c r="G244"/>
      <c r="I244" s="543"/>
      <c r="O244" s="543"/>
      <c r="P244"/>
      <c r="R244"/>
      <c r="U244"/>
      <c r="V244" s="543"/>
      <c r="AA244"/>
      <c r="AF244" s="543"/>
      <c r="AV244"/>
      <c r="AW244"/>
      <c r="AX244"/>
      <c r="AY244"/>
    </row>
    <row r="245" spans="5:51" s="132" customFormat="1">
      <c r="E245" s="543"/>
      <c r="F245"/>
      <c r="G245"/>
      <c r="I245" s="543"/>
      <c r="O245" s="543"/>
      <c r="P245"/>
      <c r="R245"/>
      <c r="U245"/>
      <c r="V245" s="543"/>
      <c r="AA245"/>
      <c r="AF245" s="543"/>
      <c r="AV245"/>
      <c r="AW245"/>
      <c r="AX245"/>
      <c r="AY245"/>
    </row>
    <row r="246" spans="5:51" s="132" customFormat="1">
      <c r="E246" s="543"/>
      <c r="F246"/>
      <c r="G246"/>
      <c r="I246" s="543"/>
      <c r="O246" s="543"/>
      <c r="P246"/>
      <c r="R246"/>
      <c r="U246"/>
      <c r="V246" s="543"/>
      <c r="AA246"/>
      <c r="AF246" s="543"/>
      <c r="AV246"/>
      <c r="AW246"/>
      <c r="AX246"/>
      <c r="AY246"/>
    </row>
    <row r="247" spans="5:51" s="132" customFormat="1">
      <c r="E247" s="543"/>
      <c r="F247"/>
      <c r="G247"/>
      <c r="I247" s="543"/>
      <c r="O247" s="543"/>
      <c r="P247"/>
      <c r="R247"/>
      <c r="U247"/>
      <c r="V247" s="543"/>
      <c r="AA247"/>
      <c r="AF247" s="543"/>
      <c r="AV247"/>
      <c r="AW247"/>
      <c r="AX247"/>
      <c r="AY247"/>
    </row>
    <row r="248" spans="5:51" s="132" customFormat="1">
      <c r="E248" s="543"/>
      <c r="F248"/>
      <c r="G248"/>
      <c r="I248" s="543"/>
      <c r="O248" s="543"/>
      <c r="P248"/>
      <c r="R248"/>
      <c r="U248"/>
      <c r="V248" s="543"/>
      <c r="AA248"/>
      <c r="AF248" s="543"/>
      <c r="AV248"/>
      <c r="AW248"/>
      <c r="AX248"/>
      <c r="AY248"/>
    </row>
    <row r="249" spans="5:51" s="132" customFormat="1">
      <c r="E249" s="543"/>
      <c r="F249"/>
      <c r="G249"/>
      <c r="I249" s="543"/>
      <c r="O249" s="543"/>
      <c r="P249"/>
      <c r="R249"/>
      <c r="U249"/>
      <c r="V249" s="543"/>
      <c r="AA249"/>
      <c r="AF249" s="543"/>
      <c r="AV249"/>
      <c r="AW249"/>
      <c r="AX249"/>
      <c r="AY249"/>
    </row>
    <row r="250" spans="5:51" s="132" customFormat="1">
      <c r="E250" s="543"/>
      <c r="F250"/>
      <c r="G250"/>
      <c r="I250" s="543"/>
      <c r="O250" s="543"/>
      <c r="P250"/>
      <c r="R250"/>
      <c r="U250"/>
      <c r="V250" s="543"/>
      <c r="AA250"/>
      <c r="AF250" s="543"/>
      <c r="AV250"/>
      <c r="AW250"/>
      <c r="AX250"/>
      <c r="AY250"/>
    </row>
    <row r="251" spans="5:51" s="132" customFormat="1">
      <c r="E251" s="543"/>
      <c r="F251"/>
      <c r="G251"/>
      <c r="I251" s="543"/>
      <c r="O251" s="543"/>
      <c r="P251"/>
      <c r="R251"/>
      <c r="U251"/>
      <c r="V251" s="543"/>
      <c r="AA251"/>
      <c r="AF251" s="543"/>
      <c r="AV251"/>
      <c r="AW251"/>
      <c r="AX251"/>
      <c r="AY251"/>
    </row>
    <row r="252" spans="5:51" s="132" customFormat="1">
      <c r="E252" s="543"/>
      <c r="F252"/>
      <c r="G252"/>
      <c r="I252" s="543"/>
      <c r="O252" s="543"/>
      <c r="P252"/>
      <c r="R252"/>
      <c r="U252"/>
      <c r="V252" s="543"/>
      <c r="AA252"/>
      <c r="AF252" s="543"/>
      <c r="AV252"/>
      <c r="AW252"/>
      <c r="AX252"/>
      <c r="AY252"/>
    </row>
    <row r="253" spans="5:51" s="132" customFormat="1">
      <c r="E253" s="543"/>
      <c r="F253"/>
      <c r="G253"/>
      <c r="I253" s="543"/>
      <c r="O253" s="543"/>
      <c r="P253"/>
      <c r="R253"/>
      <c r="U253"/>
      <c r="V253" s="543"/>
      <c r="AA253"/>
      <c r="AF253" s="543"/>
      <c r="AV253"/>
      <c r="AW253"/>
      <c r="AX253"/>
      <c r="AY253"/>
    </row>
    <row r="254" spans="5:51" s="132" customFormat="1">
      <c r="E254" s="543"/>
      <c r="F254"/>
      <c r="G254"/>
      <c r="I254" s="543"/>
      <c r="O254" s="543"/>
      <c r="P254"/>
      <c r="R254"/>
      <c r="U254"/>
      <c r="V254" s="543"/>
      <c r="AA254"/>
      <c r="AF254" s="543"/>
      <c r="AV254"/>
      <c r="AW254"/>
      <c r="AX254"/>
      <c r="AY254"/>
    </row>
    <row r="255" spans="5:51" s="132" customFormat="1">
      <c r="E255" s="543"/>
      <c r="F255"/>
      <c r="G255"/>
      <c r="I255" s="543"/>
      <c r="O255" s="543"/>
      <c r="P255"/>
      <c r="R255"/>
      <c r="U255"/>
      <c r="V255" s="543"/>
      <c r="AA255"/>
      <c r="AF255" s="543"/>
      <c r="AV255"/>
      <c r="AW255"/>
      <c r="AX255"/>
      <c r="AY255"/>
    </row>
    <row r="256" spans="5:51" s="132" customFormat="1">
      <c r="E256" s="543"/>
      <c r="F256"/>
      <c r="G256"/>
      <c r="I256" s="543"/>
      <c r="O256" s="543"/>
      <c r="P256"/>
      <c r="R256"/>
      <c r="U256"/>
      <c r="V256" s="543"/>
      <c r="AA256"/>
      <c r="AF256" s="543"/>
      <c r="AV256"/>
      <c r="AW256"/>
      <c r="AX256"/>
      <c r="AY256"/>
    </row>
    <row r="257" spans="5:51" s="132" customFormat="1">
      <c r="E257" s="543"/>
      <c r="F257"/>
      <c r="G257"/>
      <c r="I257" s="543"/>
      <c r="O257" s="543"/>
      <c r="P257"/>
      <c r="R257"/>
      <c r="U257"/>
      <c r="V257" s="543"/>
      <c r="AA257"/>
      <c r="AF257" s="543"/>
      <c r="AV257"/>
      <c r="AW257"/>
      <c r="AX257"/>
      <c r="AY257"/>
    </row>
    <row r="258" spans="5:51" s="132" customFormat="1">
      <c r="E258" s="543"/>
      <c r="F258"/>
      <c r="G258"/>
      <c r="I258" s="543"/>
      <c r="O258" s="543"/>
      <c r="P258"/>
      <c r="R258"/>
      <c r="U258"/>
      <c r="V258" s="543"/>
      <c r="AA258"/>
      <c r="AF258" s="543"/>
      <c r="AV258"/>
      <c r="AW258"/>
      <c r="AX258"/>
      <c r="AY258"/>
    </row>
    <row r="259" spans="5:51" s="132" customFormat="1">
      <c r="E259" s="543"/>
      <c r="F259"/>
      <c r="G259"/>
      <c r="I259" s="543"/>
      <c r="O259" s="543"/>
      <c r="P259"/>
      <c r="R259"/>
      <c r="U259"/>
      <c r="V259" s="543"/>
      <c r="AA259"/>
      <c r="AF259" s="543"/>
      <c r="AV259"/>
      <c r="AW259"/>
      <c r="AX259"/>
      <c r="AY259"/>
    </row>
    <row r="260" spans="5:51" s="132" customFormat="1">
      <c r="E260" s="543"/>
      <c r="F260"/>
      <c r="G260"/>
      <c r="I260" s="543"/>
      <c r="O260" s="543"/>
      <c r="P260"/>
      <c r="R260"/>
      <c r="U260"/>
      <c r="V260" s="543"/>
      <c r="AA260"/>
      <c r="AF260" s="543"/>
      <c r="AV260"/>
      <c r="AW260"/>
      <c r="AX260"/>
      <c r="AY260"/>
    </row>
    <row r="261" spans="5:51" s="132" customFormat="1">
      <c r="E261" s="543"/>
      <c r="F261"/>
      <c r="G261"/>
      <c r="I261" s="543"/>
      <c r="O261" s="543"/>
      <c r="P261"/>
      <c r="R261"/>
      <c r="U261"/>
      <c r="V261" s="543"/>
      <c r="AA261"/>
      <c r="AF261" s="543"/>
      <c r="AV261"/>
      <c r="AW261"/>
      <c r="AX261"/>
      <c r="AY261"/>
    </row>
    <row r="262" spans="5:51" s="132" customFormat="1">
      <c r="E262" s="543"/>
      <c r="F262"/>
      <c r="G262"/>
      <c r="I262" s="543"/>
      <c r="O262" s="543"/>
      <c r="P262"/>
      <c r="R262"/>
      <c r="U262"/>
      <c r="V262" s="543"/>
      <c r="AA262"/>
      <c r="AF262" s="543"/>
      <c r="AV262"/>
      <c r="AW262"/>
      <c r="AX262"/>
      <c r="AY262"/>
    </row>
    <row r="263" spans="5:51" s="132" customFormat="1">
      <c r="E263" s="543"/>
      <c r="F263"/>
      <c r="G263"/>
      <c r="I263" s="543"/>
      <c r="O263" s="543"/>
      <c r="P263"/>
      <c r="R263"/>
      <c r="U263"/>
      <c r="V263" s="543"/>
      <c r="AA263"/>
      <c r="AF263" s="543"/>
      <c r="AV263"/>
      <c r="AW263"/>
      <c r="AX263"/>
      <c r="AY263"/>
    </row>
    <row r="264" spans="5:51" s="132" customFormat="1">
      <c r="E264" s="543"/>
      <c r="F264"/>
      <c r="G264"/>
      <c r="I264" s="543"/>
      <c r="O264" s="543"/>
      <c r="P264"/>
      <c r="R264"/>
      <c r="U264"/>
      <c r="V264" s="543"/>
      <c r="AA264"/>
      <c r="AF264" s="543"/>
      <c r="AV264"/>
      <c r="AW264"/>
      <c r="AX264"/>
      <c r="AY264"/>
    </row>
    <row r="265" spans="5:51" s="132" customFormat="1">
      <c r="E265" s="543"/>
      <c r="F265"/>
      <c r="G265"/>
      <c r="I265" s="543"/>
      <c r="O265" s="543"/>
      <c r="P265"/>
      <c r="R265"/>
      <c r="U265"/>
      <c r="V265" s="543"/>
      <c r="AA265"/>
      <c r="AF265" s="543"/>
      <c r="AV265"/>
      <c r="AW265"/>
      <c r="AX265"/>
      <c r="AY265"/>
    </row>
    <row r="266" spans="5:51" s="132" customFormat="1">
      <c r="E266" s="543"/>
      <c r="F266"/>
      <c r="G266"/>
      <c r="I266" s="543"/>
      <c r="O266" s="543"/>
      <c r="P266"/>
      <c r="R266"/>
      <c r="U266"/>
      <c r="V266" s="543"/>
      <c r="AA266"/>
      <c r="AF266" s="543"/>
      <c r="AV266"/>
      <c r="AW266"/>
      <c r="AX266"/>
      <c r="AY266"/>
    </row>
    <row r="267" spans="5:51" s="132" customFormat="1">
      <c r="E267" s="543"/>
      <c r="F267"/>
      <c r="G267"/>
      <c r="I267" s="543"/>
      <c r="O267" s="543"/>
      <c r="P267"/>
      <c r="R267"/>
      <c r="U267"/>
      <c r="V267" s="543"/>
      <c r="AA267"/>
      <c r="AF267" s="543"/>
      <c r="AV267"/>
      <c r="AW267"/>
      <c r="AX267"/>
      <c r="AY267"/>
    </row>
    <row r="268" spans="5:51" s="132" customFormat="1">
      <c r="E268" s="543"/>
      <c r="F268"/>
      <c r="G268"/>
      <c r="I268" s="543"/>
      <c r="O268" s="543"/>
      <c r="P268"/>
      <c r="R268"/>
      <c r="U268"/>
      <c r="V268" s="543"/>
      <c r="AA268"/>
      <c r="AF268" s="543"/>
      <c r="AV268"/>
      <c r="AW268"/>
      <c r="AX268"/>
      <c r="AY268"/>
    </row>
    <row r="269" spans="5:51" s="132" customFormat="1">
      <c r="E269" s="543"/>
      <c r="F269"/>
      <c r="G269"/>
      <c r="I269" s="543"/>
      <c r="O269" s="543"/>
      <c r="P269"/>
      <c r="R269"/>
      <c r="U269"/>
      <c r="V269" s="543"/>
      <c r="AA269"/>
      <c r="AF269" s="543"/>
      <c r="AV269"/>
      <c r="AW269"/>
      <c r="AX269"/>
      <c r="AY269"/>
    </row>
    <row r="270" spans="5:51" s="132" customFormat="1">
      <c r="E270" s="543"/>
      <c r="F270"/>
      <c r="G270"/>
      <c r="I270" s="543"/>
      <c r="O270" s="543"/>
      <c r="P270"/>
      <c r="R270"/>
      <c r="U270"/>
      <c r="V270" s="543"/>
      <c r="AA270"/>
      <c r="AF270" s="543"/>
      <c r="AV270"/>
      <c r="AW270"/>
      <c r="AX270"/>
      <c r="AY270"/>
    </row>
    <row r="271" spans="5:51" s="132" customFormat="1">
      <c r="E271" s="543"/>
      <c r="F271"/>
      <c r="G271"/>
      <c r="I271" s="543"/>
      <c r="O271" s="543"/>
      <c r="P271"/>
      <c r="R271"/>
      <c r="U271"/>
      <c r="V271" s="543"/>
      <c r="AA271"/>
      <c r="AF271" s="543"/>
      <c r="AV271"/>
      <c r="AW271"/>
      <c r="AX271"/>
      <c r="AY271"/>
    </row>
    <row r="272" spans="5:51" s="132" customFormat="1">
      <c r="E272" s="543"/>
      <c r="F272"/>
      <c r="G272"/>
      <c r="I272" s="543"/>
      <c r="O272" s="543"/>
      <c r="P272"/>
      <c r="R272"/>
      <c r="U272"/>
      <c r="V272" s="543"/>
      <c r="AA272"/>
      <c r="AF272" s="543"/>
      <c r="AV272"/>
      <c r="AW272"/>
      <c r="AX272"/>
      <c r="AY272"/>
    </row>
    <row r="273" spans="5:51" s="132" customFormat="1">
      <c r="E273" s="543"/>
      <c r="F273"/>
      <c r="G273"/>
      <c r="I273" s="543"/>
      <c r="O273" s="543"/>
      <c r="P273"/>
      <c r="R273"/>
      <c r="U273"/>
      <c r="V273" s="543"/>
      <c r="AA273"/>
      <c r="AF273" s="543"/>
      <c r="AV273"/>
      <c r="AW273"/>
      <c r="AX273"/>
      <c r="AY273"/>
    </row>
    <row r="274" spans="5:51" s="132" customFormat="1">
      <c r="E274" s="543"/>
      <c r="F274"/>
      <c r="G274"/>
      <c r="I274" s="543"/>
      <c r="O274" s="543"/>
      <c r="P274"/>
      <c r="R274"/>
      <c r="U274"/>
      <c r="V274" s="543"/>
      <c r="AA274"/>
      <c r="AF274" s="543"/>
      <c r="AV274"/>
      <c r="AW274"/>
      <c r="AX274"/>
      <c r="AY274"/>
    </row>
    <row r="275" spans="5:51" s="132" customFormat="1">
      <c r="E275" s="543"/>
      <c r="F275"/>
      <c r="G275"/>
      <c r="I275" s="543"/>
      <c r="O275" s="543"/>
      <c r="P275"/>
      <c r="R275"/>
      <c r="U275"/>
      <c r="V275" s="543"/>
      <c r="AA275"/>
      <c r="AF275" s="543"/>
      <c r="AV275"/>
      <c r="AW275"/>
      <c r="AX275"/>
      <c r="AY275"/>
    </row>
    <row r="276" spans="5:51" s="132" customFormat="1">
      <c r="E276" s="543"/>
      <c r="F276"/>
      <c r="G276"/>
      <c r="I276" s="543"/>
      <c r="O276" s="543"/>
      <c r="P276"/>
      <c r="R276"/>
      <c r="U276"/>
      <c r="V276" s="543"/>
      <c r="AA276"/>
      <c r="AF276" s="543"/>
      <c r="AV276"/>
      <c r="AW276"/>
      <c r="AX276"/>
      <c r="AY276"/>
    </row>
    <row r="277" spans="5:51" s="132" customFormat="1">
      <c r="E277" s="543"/>
      <c r="F277"/>
      <c r="G277"/>
      <c r="I277" s="543"/>
      <c r="O277" s="543"/>
      <c r="P277"/>
      <c r="R277"/>
      <c r="U277"/>
      <c r="V277" s="543"/>
      <c r="AA277"/>
      <c r="AF277" s="543"/>
      <c r="AV277"/>
      <c r="AW277"/>
      <c r="AX277"/>
      <c r="AY277"/>
    </row>
    <row r="278" spans="5:51" s="132" customFormat="1">
      <c r="E278" s="543"/>
      <c r="F278"/>
      <c r="G278"/>
      <c r="I278" s="543"/>
      <c r="O278" s="543"/>
      <c r="P278"/>
      <c r="R278"/>
      <c r="U278"/>
      <c r="V278" s="543"/>
      <c r="AA278"/>
      <c r="AF278" s="543"/>
      <c r="AV278"/>
      <c r="AW278"/>
      <c r="AX278"/>
      <c r="AY278"/>
    </row>
    <row r="279" spans="5:51" s="132" customFormat="1">
      <c r="E279" s="543"/>
      <c r="F279"/>
      <c r="G279"/>
      <c r="I279" s="543"/>
      <c r="O279" s="543"/>
      <c r="P279"/>
      <c r="R279"/>
      <c r="U279"/>
      <c r="V279" s="543"/>
      <c r="AA279"/>
      <c r="AF279" s="543"/>
      <c r="AV279"/>
      <c r="AW279"/>
      <c r="AX279"/>
      <c r="AY279"/>
    </row>
    <row r="280" spans="5:51" s="132" customFormat="1">
      <c r="E280" s="543"/>
      <c r="F280"/>
      <c r="G280"/>
      <c r="I280" s="543"/>
      <c r="O280" s="543"/>
      <c r="P280"/>
      <c r="R280"/>
      <c r="U280"/>
      <c r="V280" s="543"/>
      <c r="AA280"/>
      <c r="AF280" s="543"/>
      <c r="AV280"/>
      <c r="AW280"/>
      <c r="AX280"/>
      <c r="AY280"/>
    </row>
    <row r="281" spans="5:51" s="132" customFormat="1">
      <c r="E281" s="543"/>
      <c r="F281"/>
      <c r="G281"/>
      <c r="I281" s="543"/>
      <c r="O281" s="543"/>
      <c r="P281"/>
      <c r="R281"/>
      <c r="U281"/>
      <c r="V281" s="543"/>
      <c r="AA281"/>
      <c r="AF281" s="543"/>
      <c r="AV281"/>
      <c r="AW281"/>
      <c r="AX281"/>
      <c r="AY281"/>
    </row>
    <row r="282" spans="5:51" s="132" customFormat="1">
      <c r="E282" s="543"/>
      <c r="F282"/>
      <c r="G282"/>
      <c r="I282" s="543"/>
      <c r="O282" s="543"/>
      <c r="P282"/>
      <c r="R282"/>
      <c r="U282"/>
      <c r="V282" s="543"/>
      <c r="AA282"/>
      <c r="AF282" s="543"/>
      <c r="AV282"/>
      <c r="AW282"/>
      <c r="AX282"/>
      <c r="AY282"/>
    </row>
    <row r="283" spans="5:51" s="132" customFormat="1">
      <c r="E283" s="543"/>
      <c r="F283"/>
      <c r="G283"/>
      <c r="I283" s="543"/>
      <c r="O283" s="543"/>
      <c r="P283"/>
      <c r="R283"/>
      <c r="U283"/>
      <c r="V283" s="543"/>
      <c r="AA283"/>
      <c r="AF283" s="543"/>
      <c r="AV283"/>
      <c r="AW283"/>
      <c r="AX283"/>
      <c r="AY283"/>
    </row>
    <row r="284" spans="5:51" s="132" customFormat="1">
      <c r="E284" s="543"/>
      <c r="F284"/>
      <c r="G284"/>
      <c r="I284" s="543"/>
      <c r="O284" s="543"/>
      <c r="P284"/>
      <c r="R284"/>
      <c r="U284"/>
      <c r="V284" s="543"/>
      <c r="AA284"/>
      <c r="AF284" s="543"/>
      <c r="AV284"/>
      <c r="AW284"/>
      <c r="AX284"/>
      <c r="AY284"/>
    </row>
    <row r="285" spans="5:51" s="132" customFormat="1">
      <c r="E285" s="543"/>
      <c r="F285"/>
      <c r="G285"/>
      <c r="I285" s="543"/>
      <c r="O285" s="543"/>
      <c r="P285"/>
      <c r="R285"/>
      <c r="U285"/>
      <c r="V285" s="543"/>
      <c r="AA285"/>
      <c r="AF285" s="543"/>
      <c r="AV285"/>
      <c r="AW285"/>
      <c r="AX285"/>
      <c r="AY285"/>
    </row>
    <row r="286" spans="5:51" s="132" customFormat="1">
      <c r="E286" s="543"/>
      <c r="F286"/>
      <c r="G286"/>
      <c r="I286" s="543"/>
      <c r="O286" s="543"/>
      <c r="P286"/>
      <c r="R286"/>
      <c r="U286"/>
      <c r="V286" s="543"/>
      <c r="AA286"/>
      <c r="AF286" s="543"/>
      <c r="AV286"/>
      <c r="AW286"/>
      <c r="AX286"/>
      <c r="AY286"/>
    </row>
    <row r="287" spans="5:51" s="132" customFormat="1">
      <c r="E287" s="543"/>
      <c r="F287"/>
      <c r="G287"/>
      <c r="I287" s="543"/>
      <c r="O287" s="543"/>
      <c r="P287"/>
      <c r="R287"/>
      <c r="U287"/>
      <c r="V287" s="543"/>
      <c r="AA287"/>
      <c r="AF287" s="543"/>
      <c r="AV287"/>
      <c r="AW287"/>
      <c r="AX287"/>
      <c r="AY287"/>
    </row>
    <row r="288" spans="5:51" s="132" customFormat="1">
      <c r="E288" s="543"/>
      <c r="F288"/>
      <c r="G288"/>
      <c r="I288" s="543"/>
      <c r="O288" s="543"/>
      <c r="P288"/>
      <c r="R288"/>
      <c r="U288"/>
      <c r="V288" s="543"/>
      <c r="AA288"/>
      <c r="AF288" s="543"/>
      <c r="AV288"/>
      <c r="AW288"/>
      <c r="AX288"/>
      <c r="AY288"/>
    </row>
    <row r="289" spans="5:51" s="132" customFormat="1">
      <c r="E289" s="543"/>
      <c r="F289"/>
      <c r="G289"/>
      <c r="I289" s="543"/>
      <c r="O289" s="543"/>
      <c r="P289"/>
      <c r="R289"/>
      <c r="U289"/>
      <c r="V289" s="543"/>
      <c r="AA289"/>
      <c r="AF289" s="543"/>
      <c r="AV289"/>
      <c r="AW289"/>
      <c r="AX289"/>
      <c r="AY289"/>
    </row>
    <row r="290" spans="5:51" s="132" customFormat="1">
      <c r="E290" s="543"/>
      <c r="F290"/>
      <c r="G290"/>
      <c r="I290" s="543"/>
      <c r="O290" s="543"/>
      <c r="P290"/>
      <c r="R290"/>
      <c r="U290"/>
      <c r="V290" s="543"/>
      <c r="AA290"/>
      <c r="AF290" s="543"/>
      <c r="AV290"/>
      <c r="AW290"/>
      <c r="AX290"/>
      <c r="AY290"/>
    </row>
    <row r="291" spans="5:51" s="132" customFormat="1">
      <c r="E291" s="543"/>
      <c r="F291"/>
      <c r="G291"/>
      <c r="I291" s="543"/>
      <c r="O291" s="543"/>
      <c r="P291"/>
      <c r="R291"/>
      <c r="U291"/>
      <c r="V291" s="543"/>
      <c r="AA291"/>
      <c r="AF291" s="543"/>
      <c r="AV291"/>
      <c r="AW291"/>
      <c r="AX291"/>
      <c r="AY291"/>
    </row>
    <row r="292" spans="5:51" s="132" customFormat="1">
      <c r="E292" s="543"/>
      <c r="F292"/>
      <c r="G292"/>
      <c r="I292" s="543"/>
      <c r="O292" s="543"/>
      <c r="P292"/>
      <c r="R292"/>
      <c r="U292"/>
      <c r="V292" s="543"/>
      <c r="AA292"/>
      <c r="AF292" s="543"/>
      <c r="AV292"/>
      <c r="AW292"/>
      <c r="AX292"/>
      <c r="AY292"/>
    </row>
    <row r="293" spans="5:51" s="132" customFormat="1">
      <c r="E293" s="543"/>
      <c r="F293"/>
      <c r="G293"/>
      <c r="I293" s="543"/>
      <c r="O293" s="543"/>
      <c r="P293"/>
      <c r="R293"/>
      <c r="U293"/>
      <c r="V293" s="543"/>
      <c r="AA293"/>
      <c r="AF293" s="543"/>
      <c r="AV293"/>
      <c r="AW293"/>
      <c r="AX293"/>
      <c r="AY293"/>
    </row>
    <row r="294" spans="5:51" s="132" customFormat="1">
      <c r="E294" s="543"/>
      <c r="F294"/>
      <c r="G294"/>
      <c r="I294" s="543"/>
      <c r="O294" s="543"/>
      <c r="P294"/>
      <c r="R294"/>
      <c r="U294"/>
      <c r="V294" s="543"/>
      <c r="AA294"/>
      <c r="AF294" s="543"/>
      <c r="AV294"/>
      <c r="AW294"/>
      <c r="AX294"/>
      <c r="AY294"/>
    </row>
    <row r="295" spans="5:51" s="132" customFormat="1">
      <c r="E295" s="543"/>
      <c r="F295"/>
      <c r="G295"/>
      <c r="I295" s="543"/>
      <c r="O295" s="543"/>
      <c r="P295"/>
      <c r="R295"/>
      <c r="U295"/>
      <c r="V295" s="543"/>
      <c r="AA295"/>
      <c r="AF295" s="543"/>
      <c r="AV295"/>
      <c r="AW295"/>
      <c r="AX295"/>
      <c r="AY295"/>
    </row>
    <row r="296" spans="5:51" s="132" customFormat="1">
      <c r="E296" s="543"/>
      <c r="F296"/>
      <c r="G296"/>
      <c r="I296" s="543"/>
      <c r="O296" s="543"/>
      <c r="P296"/>
      <c r="R296"/>
      <c r="U296"/>
      <c r="V296" s="543"/>
      <c r="AA296"/>
      <c r="AF296" s="543"/>
      <c r="AV296"/>
      <c r="AW296"/>
      <c r="AX296"/>
      <c r="AY296"/>
    </row>
    <row r="297" spans="5:51" s="132" customFormat="1">
      <c r="E297" s="543"/>
      <c r="F297"/>
      <c r="G297"/>
      <c r="I297" s="543"/>
      <c r="O297" s="543"/>
      <c r="P297"/>
      <c r="R297"/>
      <c r="U297"/>
      <c r="V297" s="543"/>
      <c r="AA297"/>
      <c r="AF297" s="543"/>
      <c r="AV297"/>
      <c r="AW297"/>
      <c r="AX297"/>
      <c r="AY297"/>
    </row>
    <row r="298" spans="5:51" s="132" customFormat="1">
      <c r="E298" s="543"/>
      <c r="F298"/>
      <c r="G298"/>
      <c r="I298" s="543"/>
      <c r="O298" s="543"/>
      <c r="P298"/>
      <c r="R298"/>
      <c r="U298"/>
      <c r="V298" s="543"/>
      <c r="AA298"/>
      <c r="AF298" s="543"/>
      <c r="AV298"/>
      <c r="AW298"/>
      <c r="AX298"/>
      <c r="AY298"/>
    </row>
    <row r="299" spans="5:51" s="132" customFormat="1">
      <c r="E299" s="543"/>
      <c r="F299"/>
      <c r="G299"/>
      <c r="I299" s="543"/>
      <c r="O299" s="543"/>
      <c r="P299"/>
      <c r="R299"/>
      <c r="U299"/>
      <c r="V299" s="543"/>
      <c r="AA299"/>
      <c r="AF299" s="543"/>
      <c r="AV299"/>
      <c r="AW299"/>
      <c r="AX299"/>
      <c r="AY299"/>
    </row>
    <row r="300" spans="5:51" s="132" customFormat="1">
      <c r="E300" s="543"/>
      <c r="F300"/>
      <c r="G300"/>
      <c r="I300" s="543"/>
      <c r="O300" s="543"/>
      <c r="P300"/>
      <c r="R300"/>
      <c r="U300"/>
      <c r="V300" s="543"/>
      <c r="AA300"/>
      <c r="AF300" s="543"/>
      <c r="AV300"/>
      <c r="AW300"/>
      <c r="AX300"/>
      <c r="AY300"/>
    </row>
    <row r="301" spans="5:51" s="132" customFormat="1">
      <c r="E301" s="543"/>
      <c r="F301"/>
      <c r="G301"/>
      <c r="I301" s="543"/>
      <c r="O301" s="543"/>
      <c r="P301"/>
      <c r="R301"/>
      <c r="U301"/>
      <c r="V301" s="543"/>
      <c r="AA301"/>
      <c r="AF301" s="543"/>
      <c r="AV301"/>
      <c r="AW301"/>
      <c r="AX301"/>
      <c r="AY301"/>
    </row>
    <row r="302" spans="5:51" s="132" customFormat="1">
      <c r="E302" s="543"/>
      <c r="F302"/>
      <c r="G302"/>
      <c r="I302" s="543"/>
      <c r="O302" s="543"/>
      <c r="P302"/>
      <c r="R302"/>
      <c r="U302"/>
      <c r="V302" s="543"/>
      <c r="AA302"/>
      <c r="AF302" s="543"/>
      <c r="AV302"/>
      <c r="AW302"/>
      <c r="AX302"/>
      <c r="AY302"/>
    </row>
    <row r="303" spans="5:51" s="132" customFormat="1">
      <c r="E303" s="543"/>
      <c r="F303"/>
      <c r="G303"/>
      <c r="I303" s="543"/>
      <c r="O303" s="543"/>
      <c r="P303"/>
      <c r="R303"/>
      <c r="U303"/>
      <c r="V303" s="543"/>
      <c r="AA303"/>
      <c r="AF303" s="543"/>
      <c r="AV303"/>
      <c r="AW303"/>
      <c r="AX303"/>
      <c r="AY303"/>
    </row>
    <row r="304" spans="5:51" s="132" customFormat="1">
      <c r="E304" s="543"/>
      <c r="F304"/>
      <c r="G304"/>
      <c r="I304" s="543"/>
      <c r="O304" s="543"/>
      <c r="P304"/>
      <c r="R304"/>
      <c r="U304"/>
      <c r="V304" s="543"/>
      <c r="AA304"/>
      <c r="AF304" s="543"/>
      <c r="AV304"/>
      <c r="AW304"/>
      <c r="AX304"/>
      <c r="AY304"/>
    </row>
    <row r="305" spans="5:51" s="132" customFormat="1">
      <c r="E305" s="543"/>
      <c r="F305"/>
      <c r="G305"/>
      <c r="I305" s="543"/>
      <c r="O305" s="543"/>
      <c r="P305"/>
      <c r="R305"/>
      <c r="U305"/>
      <c r="V305" s="543"/>
      <c r="AA305"/>
      <c r="AF305" s="543"/>
      <c r="AV305"/>
      <c r="AW305"/>
      <c r="AX305"/>
      <c r="AY305"/>
    </row>
    <row r="306" spans="5:51" s="132" customFormat="1">
      <c r="E306" s="543"/>
      <c r="F306"/>
      <c r="G306"/>
      <c r="I306" s="543"/>
      <c r="O306" s="543"/>
      <c r="P306"/>
      <c r="R306"/>
      <c r="U306"/>
      <c r="V306" s="543"/>
      <c r="AA306"/>
      <c r="AF306" s="543"/>
      <c r="AV306"/>
      <c r="AW306"/>
      <c r="AX306"/>
      <c r="AY306"/>
    </row>
    <row r="307" spans="5:51" s="132" customFormat="1">
      <c r="E307" s="543"/>
      <c r="F307"/>
      <c r="G307"/>
      <c r="I307" s="543"/>
      <c r="O307" s="543"/>
      <c r="P307"/>
      <c r="R307"/>
      <c r="U307"/>
      <c r="V307" s="543"/>
      <c r="AA307"/>
      <c r="AF307" s="543"/>
      <c r="AV307"/>
      <c r="AW307"/>
      <c r="AX307"/>
      <c r="AY307"/>
    </row>
    <row r="308" spans="5:51" s="132" customFormat="1">
      <c r="E308" s="543"/>
      <c r="F308"/>
      <c r="G308"/>
      <c r="I308" s="543"/>
      <c r="O308" s="543"/>
      <c r="P308"/>
      <c r="R308"/>
      <c r="U308"/>
      <c r="V308" s="543"/>
      <c r="AA308"/>
      <c r="AF308" s="543"/>
      <c r="AV308"/>
      <c r="AW308"/>
      <c r="AX308"/>
      <c r="AY308"/>
    </row>
    <row r="309" spans="5:51" s="132" customFormat="1">
      <c r="E309" s="543"/>
      <c r="F309"/>
      <c r="G309"/>
      <c r="I309" s="543"/>
      <c r="O309" s="543"/>
      <c r="P309"/>
      <c r="R309"/>
      <c r="U309"/>
      <c r="V309" s="543"/>
      <c r="AA309"/>
      <c r="AF309" s="543"/>
      <c r="AV309"/>
      <c r="AW309"/>
      <c r="AX309"/>
      <c r="AY309"/>
    </row>
    <row r="310" spans="5:51" s="132" customFormat="1">
      <c r="E310" s="543"/>
      <c r="F310"/>
      <c r="G310"/>
      <c r="I310" s="543"/>
      <c r="O310" s="543"/>
      <c r="P310"/>
      <c r="R310"/>
      <c r="U310"/>
      <c r="V310" s="543"/>
      <c r="AA310"/>
      <c r="AF310" s="543"/>
      <c r="AV310"/>
      <c r="AW310"/>
      <c r="AX310"/>
      <c r="AY310"/>
    </row>
    <row r="311" spans="5:51" s="132" customFormat="1">
      <c r="E311" s="543"/>
      <c r="F311"/>
      <c r="G311"/>
      <c r="I311" s="543"/>
      <c r="O311" s="543"/>
      <c r="P311"/>
      <c r="R311"/>
      <c r="U311"/>
      <c r="V311" s="543"/>
      <c r="AA311"/>
      <c r="AF311" s="543"/>
      <c r="AV311"/>
      <c r="AW311"/>
      <c r="AX311"/>
      <c r="AY311"/>
    </row>
    <row r="312" spans="5:51" s="132" customFormat="1">
      <c r="E312" s="543"/>
      <c r="F312"/>
      <c r="G312"/>
      <c r="I312" s="543"/>
      <c r="O312" s="543"/>
      <c r="P312"/>
      <c r="R312"/>
      <c r="U312"/>
      <c r="V312" s="543"/>
      <c r="AA312"/>
      <c r="AF312" s="543"/>
      <c r="AV312"/>
      <c r="AW312"/>
      <c r="AX312"/>
      <c r="AY312"/>
    </row>
    <row r="313" spans="5:51" s="132" customFormat="1">
      <c r="E313" s="543"/>
      <c r="F313"/>
      <c r="G313"/>
      <c r="I313" s="543"/>
      <c r="O313" s="543"/>
      <c r="P313"/>
      <c r="R313"/>
      <c r="U313"/>
      <c r="V313" s="543"/>
      <c r="AA313"/>
      <c r="AF313" s="543"/>
      <c r="AV313"/>
      <c r="AW313"/>
      <c r="AX313"/>
      <c r="AY313"/>
    </row>
    <row r="314" spans="5:51" s="132" customFormat="1">
      <c r="E314" s="543"/>
      <c r="F314"/>
      <c r="G314"/>
      <c r="I314" s="543"/>
      <c r="O314" s="543"/>
      <c r="P314"/>
      <c r="R314"/>
      <c r="U314"/>
      <c r="V314" s="543"/>
      <c r="AA314"/>
      <c r="AF314" s="543"/>
      <c r="AV314"/>
      <c r="AW314"/>
      <c r="AX314"/>
      <c r="AY314"/>
    </row>
    <row r="315" spans="5:51" s="132" customFormat="1">
      <c r="E315" s="543"/>
      <c r="F315"/>
      <c r="G315"/>
      <c r="I315" s="543"/>
      <c r="O315" s="543"/>
      <c r="P315"/>
      <c r="R315"/>
      <c r="U315"/>
      <c r="V315" s="543"/>
      <c r="AA315"/>
      <c r="AF315" s="543"/>
      <c r="AV315"/>
      <c r="AW315"/>
      <c r="AX315"/>
      <c r="AY315"/>
    </row>
    <row r="316" spans="5:51" s="132" customFormat="1">
      <c r="E316" s="543"/>
      <c r="F316"/>
      <c r="G316"/>
      <c r="I316" s="543"/>
      <c r="O316" s="543"/>
      <c r="P316"/>
      <c r="R316"/>
      <c r="U316"/>
      <c r="V316" s="543"/>
      <c r="AA316"/>
      <c r="AF316" s="543"/>
      <c r="AV316"/>
      <c r="AW316"/>
      <c r="AX316"/>
      <c r="AY316"/>
    </row>
    <row r="317" spans="5:51" s="132" customFormat="1">
      <c r="E317" s="543"/>
      <c r="F317"/>
      <c r="G317"/>
      <c r="I317" s="543"/>
      <c r="O317" s="543"/>
      <c r="P317"/>
      <c r="R317"/>
      <c r="U317"/>
      <c r="V317" s="543"/>
      <c r="AA317"/>
      <c r="AF317" s="543"/>
      <c r="AV317"/>
      <c r="AW317"/>
      <c r="AX317"/>
      <c r="AY317"/>
    </row>
    <row r="318" spans="5:51" s="132" customFormat="1">
      <c r="E318" s="543"/>
      <c r="F318"/>
      <c r="G318"/>
      <c r="I318" s="543"/>
      <c r="O318" s="543"/>
      <c r="P318"/>
      <c r="R318"/>
      <c r="U318"/>
      <c r="V318" s="543"/>
      <c r="AA318"/>
      <c r="AF318" s="543"/>
      <c r="AV318"/>
      <c r="AW318"/>
      <c r="AX318"/>
      <c r="AY318"/>
    </row>
    <row r="319" spans="5:51" s="132" customFormat="1">
      <c r="E319" s="543"/>
      <c r="F319"/>
      <c r="G319"/>
      <c r="I319" s="543"/>
      <c r="O319" s="543"/>
      <c r="P319"/>
      <c r="R319"/>
      <c r="U319"/>
      <c r="V319" s="543"/>
      <c r="AA319"/>
      <c r="AF319" s="543"/>
      <c r="AV319"/>
      <c r="AW319"/>
      <c r="AX319"/>
      <c r="AY319"/>
    </row>
    <row r="320" spans="5:51" s="132" customFormat="1">
      <c r="E320" s="543"/>
      <c r="F320"/>
      <c r="G320"/>
      <c r="I320" s="543"/>
      <c r="O320" s="543"/>
      <c r="P320"/>
      <c r="R320"/>
      <c r="U320"/>
      <c r="V320" s="543"/>
      <c r="AA320"/>
      <c r="AF320" s="543"/>
      <c r="AV320"/>
      <c r="AW320"/>
      <c r="AX320"/>
      <c r="AY320"/>
    </row>
    <row r="321" spans="5:51" s="132" customFormat="1">
      <c r="E321" s="543"/>
      <c r="F321"/>
      <c r="G321"/>
      <c r="I321" s="543"/>
      <c r="O321" s="543"/>
      <c r="P321"/>
      <c r="R321"/>
      <c r="U321"/>
      <c r="V321" s="543"/>
      <c r="AA321"/>
      <c r="AF321" s="543"/>
      <c r="AV321"/>
      <c r="AW321"/>
      <c r="AX321"/>
      <c r="AY321"/>
    </row>
    <row r="322" spans="5:51" s="132" customFormat="1">
      <c r="E322" s="543"/>
      <c r="F322"/>
      <c r="G322"/>
      <c r="I322" s="543"/>
      <c r="O322" s="543"/>
      <c r="P322"/>
      <c r="R322"/>
      <c r="U322"/>
      <c r="V322" s="543"/>
      <c r="AA322"/>
      <c r="AF322" s="543"/>
      <c r="AV322"/>
      <c r="AW322"/>
      <c r="AX322"/>
      <c r="AY322"/>
    </row>
    <row r="323" spans="5:51" s="132" customFormat="1">
      <c r="E323" s="543"/>
      <c r="F323"/>
      <c r="G323"/>
      <c r="I323" s="543"/>
      <c r="O323" s="543"/>
      <c r="P323"/>
      <c r="R323"/>
      <c r="U323"/>
      <c r="V323" s="543"/>
      <c r="AA323"/>
      <c r="AF323" s="543"/>
      <c r="AV323"/>
      <c r="AW323"/>
      <c r="AX323"/>
      <c r="AY323"/>
    </row>
    <row r="324" spans="5:51" s="132" customFormat="1">
      <c r="E324" s="543"/>
      <c r="F324"/>
      <c r="G324"/>
      <c r="I324" s="543"/>
      <c r="O324" s="543"/>
      <c r="P324"/>
      <c r="R324"/>
      <c r="U324"/>
      <c r="V324" s="543"/>
      <c r="AA324"/>
      <c r="AF324" s="543"/>
      <c r="AV324"/>
      <c r="AW324"/>
      <c r="AX324"/>
      <c r="AY324"/>
    </row>
    <row r="325" spans="5:51" s="132" customFormat="1">
      <c r="E325" s="543"/>
      <c r="F325"/>
      <c r="G325"/>
      <c r="I325" s="543"/>
      <c r="O325" s="543"/>
      <c r="P325"/>
      <c r="R325"/>
      <c r="U325"/>
      <c r="V325" s="543"/>
      <c r="AA325"/>
      <c r="AF325" s="543"/>
      <c r="AV325"/>
      <c r="AW325"/>
      <c r="AX325"/>
      <c r="AY325"/>
    </row>
    <row r="326" spans="5:51" s="132" customFormat="1">
      <c r="E326" s="543"/>
      <c r="F326"/>
      <c r="G326"/>
      <c r="I326" s="543"/>
      <c r="O326" s="543"/>
      <c r="P326"/>
      <c r="R326"/>
      <c r="U326"/>
      <c r="V326" s="543"/>
      <c r="AA326"/>
      <c r="AF326" s="543"/>
      <c r="AV326"/>
      <c r="AW326"/>
      <c r="AX326"/>
      <c r="AY326"/>
    </row>
    <row r="327" spans="5:51" s="132" customFormat="1">
      <c r="E327" s="543"/>
      <c r="F327"/>
      <c r="G327"/>
      <c r="I327" s="543"/>
      <c r="O327" s="543"/>
      <c r="P327"/>
      <c r="R327"/>
      <c r="U327"/>
      <c r="V327" s="543"/>
      <c r="AA327"/>
      <c r="AF327" s="543"/>
      <c r="AV327"/>
      <c r="AW327"/>
      <c r="AX327"/>
      <c r="AY327"/>
    </row>
    <row r="328" spans="5:51" s="132" customFormat="1">
      <c r="E328" s="543"/>
      <c r="F328"/>
      <c r="G328"/>
      <c r="I328" s="543"/>
      <c r="O328" s="543"/>
      <c r="P328"/>
      <c r="R328"/>
      <c r="U328"/>
      <c r="V328" s="543"/>
      <c r="AA328"/>
      <c r="AF328" s="543"/>
      <c r="AV328"/>
      <c r="AW328"/>
      <c r="AX328"/>
      <c r="AY328"/>
    </row>
    <row r="329" spans="5:51" s="132" customFormat="1">
      <c r="E329" s="543"/>
      <c r="F329"/>
      <c r="G329"/>
      <c r="I329" s="543"/>
      <c r="O329" s="543"/>
      <c r="P329"/>
      <c r="R329"/>
      <c r="U329"/>
      <c r="V329" s="543"/>
      <c r="AA329"/>
      <c r="AF329" s="543"/>
      <c r="AV329"/>
      <c r="AW329"/>
      <c r="AX329"/>
      <c r="AY329"/>
    </row>
    <row r="330" spans="5:51" s="132" customFormat="1">
      <c r="E330" s="543"/>
      <c r="F330"/>
      <c r="G330"/>
      <c r="I330" s="543"/>
      <c r="O330" s="543"/>
      <c r="P330"/>
      <c r="R330"/>
      <c r="U330"/>
      <c r="V330" s="543"/>
      <c r="AA330"/>
      <c r="AF330" s="543"/>
      <c r="AV330"/>
      <c r="AW330"/>
      <c r="AX330"/>
      <c r="AY330"/>
    </row>
    <row r="331" spans="5:51" s="132" customFormat="1">
      <c r="E331" s="543"/>
      <c r="F331"/>
      <c r="G331"/>
      <c r="I331" s="543"/>
      <c r="O331" s="543"/>
      <c r="P331"/>
      <c r="R331"/>
      <c r="U331"/>
      <c r="V331" s="543"/>
      <c r="AA331"/>
      <c r="AF331" s="543"/>
      <c r="AV331"/>
      <c r="AW331"/>
      <c r="AX331"/>
      <c r="AY331"/>
    </row>
    <row r="332" spans="5:51" s="132" customFormat="1">
      <c r="E332" s="543"/>
      <c r="F332"/>
      <c r="G332"/>
      <c r="I332" s="543"/>
      <c r="O332" s="543"/>
      <c r="P332"/>
      <c r="R332"/>
      <c r="U332"/>
      <c r="V332" s="543"/>
      <c r="AA332"/>
      <c r="AF332" s="543"/>
      <c r="AV332"/>
      <c r="AW332"/>
      <c r="AX332"/>
      <c r="AY332"/>
    </row>
    <row r="333" spans="5:51" s="132" customFormat="1">
      <c r="E333" s="543"/>
      <c r="F333"/>
      <c r="G333"/>
      <c r="I333" s="543"/>
      <c r="O333" s="543"/>
      <c r="P333"/>
      <c r="R333"/>
      <c r="U333"/>
      <c r="V333" s="543"/>
      <c r="AA333"/>
      <c r="AF333" s="543"/>
      <c r="AV333"/>
      <c r="AW333"/>
      <c r="AX333"/>
      <c r="AY333"/>
    </row>
    <row r="334" spans="5:51" s="132" customFormat="1">
      <c r="E334" s="543"/>
      <c r="F334"/>
      <c r="G334"/>
      <c r="I334" s="543"/>
      <c r="O334" s="543"/>
      <c r="P334"/>
      <c r="R334"/>
      <c r="U334"/>
      <c r="V334" s="543"/>
      <c r="AA334"/>
      <c r="AF334" s="543"/>
      <c r="AV334"/>
      <c r="AW334"/>
      <c r="AX334"/>
      <c r="AY334"/>
    </row>
    <row r="335" spans="5:51" s="132" customFormat="1">
      <c r="E335" s="543"/>
      <c r="F335"/>
      <c r="G335"/>
      <c r="I335" s="543"/>
      <c r="O335" s="543"/>
      <c r="P335"/>
      <c r="R335"/>
      <c r="U335"/>
      <c r="V335" s="543"/>
      <c r="AA335"/>
      <c r="AF335" s="543"/>
      <c r="AV335"/>
      <c r="AW335"/>
      <c r="AX335"/>
      <c r="AY335"/>
    </row>
    <row r="336" spans="5:51" s="132" customFormat="1">
      <c r="E336" s="543"/>
      <c r="F336"/>
      <c r="G336"/>
      <c r="I336" s="543"/>
      <c r="O336" s="543"/>
      <c r="P336"/>
      <c r="R336"/>
      <c r="U336"/>
      <c r="V336" s="543"/>
      <c r="AA336"/>
      <c r="AF336" s="543"/>
      <c r="AV336"/>
      <c r="AW336"/>
      <c r="AX336"/>
      <c r="AY336"/>
    </row>
    <row r="337" spans="5:51" s="132" customFormat="1">
      <c r="E337" s="543"/>
      <c r="F337"/>
      <c r="G337"/>
      <c r="I337" s="543"/>
      <c r="O337" s="543"/>
      <c r="P337"/>
      <c r="R337"/>
      <c r="U337"/>
      <c r="V337" s="543"/>
      <c r="AA337"/>
      <c r="AF337" s="543"/>
      <c r="AV337"/>
      <c r="AW337"/>
      <c r="AX337"/>
      <c r="AY337"/>
    </row>
    <row r="338" spans="5:51" s="132" customFormat="1">
      <c r="E338" s="543"/>
      <c r="F338"/>
      <c r="G338"/>
      <c r="I338" s="543"/>
      <c r="O338" s="543"/>
      <c r="P338"/>
      <c r="R338"/>
      <c r="U338"/>
      <c r="V338" s="543"/>
      <c r="AA338"/>
      <c r="AF338" s="543"/>
      <c r="AV338"/>
      <c r="AW338"/>
      <c r="AX338"/>
      <c r="AY338"/>
    </row>
    <row r="339" spans="5:51" s="132" customFormat="1">
      <c r="E339" s="543"/>
      <c r="F339"/>
      <c r="G339"/>
      <c r="I339" s="543"/>
      <c r="O339" s="543"/>
      <c r="P339"/>
      <c r="R339"/>
      <c r="U339"/>
      <c r="V339" s="543"/>
      <c r="AA339"/>
      <c r="AF339" s="543"/>
      <c r="AV339"/>
      <c r="AW339"/>
      <c r="AX339"/>
      <c r="AY339"/>
    </row>
    <row r="340" spans="5:51" s="132" customFormat="1">
      <c r="E340" s="543"/>
      <c r="F340"/>
      <c r="G340"/>
      <c r="I340" s="543"/>
      <c r="O340" s="543"/>
      <c r="P340"/>
      <c r="R340"/>
      <c r="U340"/>
      <c r="V340" s="543"/>
      <c r="AA340"/>
      <c r="AF340" s="543"/>
      <c r="AV340"/>
      <c r="AW340"/>
      <c r="AX340"/>
      <c r="AY340"/>
    </row>
    <row r="341" spans="5:51" s="132" customFormat="1">
      <c r="E341" s="543"/>
      <c r="F341"/>
      <c r="G341"/>
      <c r="I341" s="543"/>
      <c r="O341" s="543"/>
      <c r="P341"/>
      <c r="R341"/>
      <c r="U341"/>
      <c r="V341" s="543"/>
      <c r="AA341"/>
      <c r="AF341" s="543"/>
      <c r="AV341"/>
      <c r="AW341"/>
      <c r="AX341"/>
      <c r="AY341"/>
    </row>
    <row r="342" spans="5:51" s="132" customFormat="1">
      <c r="E342" s="543"/>
      <c r="F342"/>
      <c r="G342"/>
      <c r="I342" s="543"/>
      <c r="O342" s="543"/>
      <c r="P342"/>
      <c r="R342"/>
      <c r="U342"/>
      <c r="V342" s="543"/>
      <c r="AA342"/>
      <c r="AF342" s="543"/>
      <c r="AV342"/>
      <c r="AW342"/>
      <c r="AX342"/>
      <c r="AY342"/>
    </row>
    <row r="343" spans="5:51" s="132" customFormat="1">
      <c r="E343" s="543"/>
      <c r="F343"/>
      <c r="G343"/>
      <c r="I343" s="543"/>
      <c r="O343" s="543"/>
      <c r="P343"/>
      <c r="R343"/>
      <c r="U343"/>
      <c r="V343" s="543"/>
      <c r="AA343"/>
      <c r="AF343" s="543"/>
      <c r="AV343"/>
      <c r="AW343"/>
      <c r="AX343"/>
      <c r="AY343"/>
    </row>
    <row r="344" spans="5:51" s="132" customFormat="1">
      <c r="E344" s="543"/>
      <c r="F344"/>
      <c r="G344"/>
      <c r="I344" s="543"/>
      <c r="O344" s="543"/>
      <c r="P344"/>
      <c r="R344"/>
      <c r="U344"/>
      <c r="V344" s="543"/>
      <c r="AA344"/>
      <c r="AF344" s="543"/>
      <c r="AV344"/>
      <c r="AW344"/>
      <c r="AX344"/>
      <c r="AY344"/>
    </row>
    <row r="345" spans="5:51" s="132" customFormat="1">
      <c r="E345" s="543"/>
      <c r="F345"/>
      <c r="G345"/>
      <c r="I345" s="543"/>
      <c r="O345" s="543"/>
      <c r="P345"/>
      <c r="R345"/>
      <c r="U345"/>
      <c r="V345" s="543"/>
      <c r="AA345"/>
      <c r="AF345" s="543"/>
      <c r="AV345"/>
      <c r="AW345"/>
      <c r="AX345"/>
      <c r="AY345"/>
    </row>
    <row r="346" spans="5:51" s="132" customFormat="1">
      <c r="E346" s="543"/>
      <c r="F346"/>
      <c r="G346"/>
      <c r="I346" s="543"/>
      <c r="O346" s="543"/>
      <c r="P346"/>
      <c r="R346"/>
      <c r="U346"/>
      <c r="V346" s="543"/>
      <c r="AA346"/>
      <c r="AF346" s="543"/>
      <c r="AV346"/>
      <c r="AW346"/>
      <c r="AX346"/>
      <c r="AY346"/>
    </row>
    <row r="347" spans="5:51" s="132" customFormat="1">
      <c r="E347" s="543"/>
      <c r="F347"/>
      <c r="G347"/>
      <c r="I347" s="543"/>
      <c r="O347" s="543"/>
      <c r="P347"/>
      <c r="R347"/>
      <c r="U347"/>
      <c r="V347" s="543"/>
      <c r="AA347"/>
      <c r="AF347" s="543"/>
      <c r="AV347"/>
      <c r="AW347"/>
      <c r="AX347"/>
      <c r="AY347"/>
    </row>
    <row r="348" spans="5:51" s="132" customFormat="1">
      <c r="E348" s="543"/>
      <c r="F348"/>
      <c r="G348"/>
      <c r="I348" s="543"/>
      <c r="O348" s="543"/>
      <c r="P348"/>
      <c r="R348"/>
      <c r="U348"/>
      <c r="V348" s="543"/>
      <c r="AA348"/>
      <c r="AF348" s="543"/>
      <c r="AV348"/>
      <c r="AW348"/>
      <c r="AX348"/>
      <c r="AY348"/>
    </row>
    <row r="349" spans="5:51" s="132" customFormat="1">
      <c r="E349" s="543"/>
      <c r="F349"/>
      <c r="G349"/>
      <c r="I349" s="543"/>
      <c r="O349" s="543"/>
      <c r="P349"/>
      <c r="R349"/>
      <c r="U349"/>
      <c r="V349" s="543"/>
      <c r="AA349"/>
      <c r="AF349" s="543"/>
      <c r="AV349"/>
      <c r="AW349"/>
      <c r="AX349"/>
      <c r="AY349"/>
    </row>
    <row r="350" spans="5:51" s="132" customFormat="1">
      <c r="E350" s="543"/>
      <c r="F350"/>
      <c r="G350"/>
      <c r="I350" s="543"/>
      <c r="O350" s="543"/>
      <c r="P350"/>
      <c r="R350"/>
      <c r="U350"/>
      <c r="V350" s="543"/>
      <c r="AA350"/>
      <c r="AF350" s="543"/>
      <c r="AV350"/>
      <c r="AW350"/>
      <c r="AX350"/>
      <c r="AY350"/>
    </row>
    <row r="351" spans="5:51" s="132" customFormat="1">
      <c r="E351" s="543"/>
      <c r="F351"/>
      <c r="G351"/>
      <c r="I351" s="543"/>
      <c r="O351" s="543"/>
      <c r="P351"/>
      <c r="R351"/>
      <c r="U351"/>
      <c r="V351" s="543"/>
      <c r="AA351"/>
      <c r="AF351" s="543"/>
      <c r="AV351"/>
      <c r="AW351"/>
      <c r="AX351"/>
      <c r="AY351"/>
    </row>
    <row r="352" spans="5:51" s="132" customFormat="1">
      <c r="E352" s="543"/>
      <c r="F352"/>
      <c r="G352"/>
      <c r="I352" s="543"/>
      <c r="O352" s="543"/>
      <c r="P352"/>
      <c r="R352"/>
      <c r="U352"/>
      <c r="V352" s="543"/>
      <c r="AA352"/>
      <c r="AF352" s="543"/>
      <c r="AV352"/>
      <c r="AW352"/>
      <c r="AX352"/>
      <c r="AY352"/>
    </row>
    <row r="353" spans="5:51" s="132" customFormat="1">
      <c r="E353" s="543"/>
      <c r="F353"/>
      <c r="G353"/>
      <c r="I353" s="543"/>
      <c r="O353" s="543"/>
      <c r="P353"/>
      <c r="R353"/>
      <c r="U353"/>
      <c r="V353" s="543"/>
      <c r="AA353"/>
      <c r="AF353" s="543"/>
      <c r="AV353"/>
      <c r="AW353"/>
      <c r="AX353"/>
      <c r="AY353"/>
    </row>
    <row r="354" spans="5:51" s="132" customFormat="1">
      <c r="E354" s="543"/>
      <c r="F354"/>
      <c r="G354"/>
      <c r="I354" s="543"/>
      <c r="O354" s="543"/>
      <c r="P354"/>
      <c r="R354"/>
      <c r="U354"/>
      <c r="V354" s="543"/>
      <c r="AA354"/>
      <c r="AF354" s="543"/>
      <c r="AV354"/>
      <c r="AW354"/>
      <c r="AX354"/>
      <c r="AY354"/>
    </row>
    <row r="355" spans="5:51" s="132" customFormat="1">
      <c r="E355" s="543"/>
      <c r="F355"/>
      <c r="G355"/>
      <c r="I355" s="543"/>
      <c r="O355" s="543"/>
      <c r="P355"/>
      <c r="R355"/>
      <c r="U355"/>
      <c r="V355" s="543"/>
      <c r="AA355"/>
      <c r="AF355" s="543"/>
      <c r="AV355"/>
      <c r="AW355"/>
      <c r="AX355"/>
      <c r="AY355"/>
    </row>
    <row r="356" spans="5:51" s="132" customFormat="1">
      <c r="E356" s="543"/>
      <c r="F356"/>
      <c r="G356"/>
      <c r="I356" s="543"/>
      <c r="O356" s="543"/>
      <c r="P356"/>
      <c r="R356"/>
      <c r="U356"/>
      <c r="V356" s="543"/>
      <c r="AA356"/>
      <c r="AF356" s="543"/>
      <c r="AV356"/>
      <c r="AW356"/>
      <c r="AX356"/>
      <c r="AY356"/>
    </row>
    <row r="357" spans="5:51" s="132" customFormat="1">
      <c r="E357" s="543"/>
      <c r="F357"/>
      <c r="G357"/>
      <c r="I357" s="543"/>
      <c r="O357" s="543"/>
      <c r="P357"/>
      <c r="R357"/>
      <c r="U357"/>
      <c r="V357" s="543"/>
      <c r="AA357"/>
      <c r="AF357" s="543"/>
      <c r="AV357"/>
      <c r="AW357"/>
      <c r="AX357"/>
      <c r="AY357"/>
    </row>
    <row r="358" spans="5:51" s="132" customFormat="1">
      <c r="E358" s="543"/>
      <c r="F358"/>
      <c r="G358"/>
      <c r="I358" s="543"/>
      <c r="O358" s="543"/>
      <c r="P358"/>
      <c r="R358"/>
      <c r="U358"/>
      <c r="V358" s="543"/>
      <c r="AA358"/>
      <c r="AF358" s="543"/>
      <c r="AV358"/>
      <c r="AW358"/>
      <c r="AX358"/>
      <c r="AY358"/>
    </row>
    <row r="359" spans="5:51" s="132" customFormat="1">
      <c r="E359" s="543"/>
      <c r="F359"/>
      <c r="G359"/>
      <c r="I359" s="543"/>
      <c r="O359" s="543"/>
      <c r="P359"/>
      <c r="R359"/>
      <c r="U359"/>
      <c r="V359" s="543"/>
      <c r="AA359"/>
      <c r="AF359" s="543"/>
      <c r="AV359"/>
      <c r="AW359"/>
      <c r="AX359"/>
      <c r="AY359"/>
    </row>
    <row r="360" spans="5:51" s="132" customFormat="1">
      <c r="E360" s="543"/>
      <c r="F360"/>
      <c r="G360"/>
      <c r="I360" s="543"/>
      <c r="O360" s="543"/>
      <c r="P360"/>
      <c r="R360"/>
      <c r="U360"/>
      <c r="V360" s="543"/>
      <c r="AA360"/>
      <c r="AF360" s="543"/>
      <c r="AV360"/>
      <c r="AW360"/>
      <c r="AX360"/>
      <c r="AY360"/>
    </row>
    <row r="361" spans="5:51" s="132" customFormat="1">
      <c r="E361" s="543"/>
      <c r="F361"/>
      <c r="G361"/>
      <c r="I361" s="543"/>
      <c r="O361" s="543"/>
      <c r="P361"/>
      <c r="R361"/>
      <c r="U361"/>
      <c r="V361" s="543"/>
      <c r="AA361"/>
      <c r="AF361" s="543"/>
      <c r="AV361"/>
      <c r="AW361"/>
      <c r="AX361"/>
      <c r="AY361"/>
    </row>
    <row r="362" spans="5:51" s="132" customFormat="1">
      <c r="E362" s="543"/>
      <c r="F362"/>
      <c r="G362"/>
      <c r="I362" s="543"/>
      <c r="O362" s="543"/>
      <c r="P362"/>
      <c r="R362"/>
      <c r="U362"/>
      <c r="V362" s="543"/>
      <c r="AA362"/>
      <c r="AF362" s="543"/>
      <c r="AV362"/>
      <c r="AW362"/>
      <c r="AX362"/>
      <c r="AY362"/>
    </row>
    <row r="363" spans="5:51" s="132" customFormat="1">
      <c r="E363" s="543"/>
      <c r="F363"/>
      <c r="G363"/>
      <c r="I363" s="543"/>
      <c r="O363" s="543"/>
      <c r="P363"/>
      <c r="R363"/>
      <c r="U363"/>
      <c r="V363" s="543"/>
      <c r="AA363"/>
      <c r="AF363" s="543"/>
      <c r="AV363"/>
      <c r="AW363"/>
      <c r="AX363"/>
      <c r="AY363"/>
    </row>
    <row r="364" spans="5:51" s="132" customFormat="1">
      <c r="E364" s="543"/>
      <c r="F364"/>
      <c r="G364"/>
      <c r="I364" s="543"/>
      <c r="O364" s="543"/>
      <c r="P364"/>
      <c r="R364"/>
      <c r="U364"/>
      <c r="V364" s="543"/>
      <c r="AA364"/>
      <c r="AF364" s="543"/>
      <c r="AV364"/>
      <c r="AW364"/>
      <c r="AX364"/>
      <c r="AY364"/>
    </row>
    <row r="365" spans="5:51" s="132" customFormat="1">
      <c r="E365" s="543"/>
      <c r="F365"/>
      <c r="G365"/>
      <c r="I365" s="543"/>
      <c r="O365" s="543"/>
      <c r="P365"/>
      <c r="R365"/>
      <c r="U365"/>
      <c r="V365" s="543"/>
      <c r="AA365"/>
      <c r="AF365" s="543"/>
      <c r="AV365"/>
      <c r="AW365"/>
      <c r="AX365"/>
      <c r="AY365"/>
    </row>
    <row r="366" spans="5:51" s="132" customFormat="1">
      <c r="E366" s="543"/>
      <c r="F366"/>
      <c r="G366"/>
      <c r="I366" s="543"/>
      <c r="O366" s="543"/>
      <c r="P366"/>
      <c r="R366"/>
      <c r="U366"/>
      <c r="V366" s="543"/>
      <c r="AA366"/>
      <c r="AF366" s="543"/>
      <c r="AV366"/>
      <c r="AW366"/>
      <c r="AX366"/>
      <c r="AY366"/>
    </row>
    <row r="367" spans="5:51" s="132" customFormat="1">
      <c r="E367" s="543"/>
      <c r="F367"/>
      <c r="G367"/>
      <c r="I367" s="543"/>
      <c r="O367" s="543"/>
      <c r="P367"/>
      <c r="R367"/>
      <c r="U367"/>
      <c r="V367" s="543"/>
      <c r="AA367"/>
      <c r="AF367" s="543"/>
      <c r="AV367"/>
      <c r="AW367"/>
      <c r="AX367"/>
      <c r="AY367"/>
    </row>
    <row r="368" spans="5:51" s="132" customFormat="1">
      <c r="E368" s="543"/>
      <c r="F368"/>
      <c r="G368"/>
      <c r="I368" s="543"/>
      <c r="O368" s="543"/>
      <c r="P368"/>
      <c r="R368"/>
      <c r="U368"/>
      <c r="V368" s="543"/>
      <c r="AA368"/>
      <c r="AF368" s="543"/>
      <c r="AV368"/>
      <c r="AW368"/>
      <c r="AX368"/>
      <c r="AY368"/>
    </row>
    <row r="369" spans="5:51" s="132" customFormat="1">
      <c r="E369" s="543"/>
      <c r="F369"/>
      <c r="G369"/>
      <c r="I369" s="543"/>
      <c r="O369" s="543"/>
      <c r="P369"/>
      <c r="R369"/>
      <c r="U369"/>
      <c r="V369" s="543"/>
      <c r="AA369"/>
      <c r="AF369" s="543"/>
      <c r="AV369"/>
      <c r="AW369"/>
      <c r="AX369"/>
      <c r="AY369"/>
    </row>
    <row r="370" spans="5:51" s="132" customFormat="1">
      <c r="E370" s="543"/>
      <c r="F370"/>
      <c r="G370"/>
      <c r="I370" s="543"/>
      <c r="O370" s="543"/>
      <c r="P370"/>
      <c r="R370"/>
      <c r="U370"/>
      <c r="V370" s="543"/>
      <c r="AA370"/>
      <c r="AF370" s="543"/>
      <c r="AV370"/>
      <c r="AW370"/>
      <c r="AX370"/>
      <c r="AY370"/>
    </row>
    <row r="371" spans="5:51" s="132" customFormat="1">
      <c r="E371" s="543"/>
      <c r="F371"/>
      <c r="G371"/>
      <c r="I371" s="543"/>
      <c r="O371" s="543"/>
      <c r="P371"/>
      <c r="R371"/>
      <c r="U371"/>
      <c r="V371" s="543"/>
      <c r="AA371"/>
      <c r="AF371" s="543"/>
      <c r="AV371"/>
      <c r="AW371"/>
      <c r="AX371"/>
      <c r="AY371"/>
    </row>
    <row r="372" spans="5:51" s="132" customFormat="1">
      <c r="E372" s="543"/>
      <c r="F372"/>
      <c r="G372"/>
      <c r="I372" s="543"/>
      <c r="O372" s="543"/>
      <c r="P372"/>
      <c r="R372"/>
      <c r="U372"/>
      <c r="V372" s="543"/>
      <c r="AA372"/>
      <c r="AF372" s="543"/>
      <c r="AV372"/>
      <c r="AW372"/>
      <c r="AX372"/>
      <c r="AY372"/>
    </row>
    <row r="373" spans="5:51" s="132" customFormat="1">
      <c r="E373" s="543"/>
      <c r="F373"/>
      <c r="G373"/>
      <c r="I373" s="543"/>
      <c r="O373" s="543"/>
      <c r="P373"/>
      <c r="R373"/>
      <c r="U373"/>
      <c r="V373" s="543"/>
      <c r="AA373"/>
      <c r="AF373" s="543"/>
      <c r="AV373"/>
      <c r="AW373"/>
      <c r="AX373"/>
      <c r="AY373"/>
    </row>
    <row r="374" spans="5:51" s="132" customFormat="1">
      <c r="E374" s="543"/>
      <c r="F374"/>
      <c r="G374"/>
      <c r="I374" s="543"/>
      <c r="O374" s="543"/>
      <c r="P374"/>
      <c r="R374"/>
      <c r="U374"/>
      <c r="V374" s="543"/>
      <c r="AA374"/>
      <c r="AF374" s="543"/>
      <c r="AV374"/>
      <c r="AW374"/>
      <c r="AX374"/>
      <c r="AY374"/>
    </row>
    <row r="375" spans="5:51" s="132" customFormat="1">
      <c r="E375" s="543"/>
      <c r="F375"/>
      <c r="G375"/>
      <c r="I375" s="543"/>
      <c r="O375" s="543"/>
      <c r="P375"/>
      <c r="R375"/>
      <c r="U375"/>
      <c r="V375" s="543"/>
      <c r="AA375"/>
      <c r="AF375" s="543"/>
      <c r="AV375"/>
      <c r="AW375"/>
      <c r="AX375"/>
      <c r="AY375"/>
    </row>
    <row r="376" spans="5:51" s="132" customFormat="1">
      <c r="E376" s="543"/>
      <c r="F376"/>
      <c r="G376"/>
      <c r="I376" s="543"/>
      <c r="O376" s="543"/>
      <c r="P376"/>
      <c r="R376"/>
      <c r="U376"/>
      <c r="V376" s="543"/>
      <c r="AA376"/>
      <c r="AF376" s="543"/>
      <c r="AV376"/>
      <c r="AW376"/>
      <c r="AX376"/>
      <c r="AY376"/>
    </row>
    <row r="377" spans="5:51" s="132" customFormat="1">
      <c r="E377" s="543"/>
      <c r="F377"/>
      <c r="G377"/>
      <c r="I377" s="543"/>
      <c r="O377" s="543"/>
      <c r="P377"/>
      <c r="R377"/>
      <c r="U377"/>
      <c r="V377" s="543"/>
      <c r="AA377"/>
      <c r="AF377" s="543"/>
      <c r="AV377"/>
      <c r="AW377"/>
      <c r="AX377"/>
      <c r="AY377"/>
    </row>
    <row r="378" spans="5:51" s="132" customFormat="1">
      <c r="E378" s="543"/>
      <c r="F378"/>
      <c r="G378"/>
      <c r="I378" s="543"/>
      <c r="O378" s="543"/>
      <c r="P378"/>
      <c r="R378"/>
      <c r="U378"/>
      <c r="V378" s="543"/>
      <c r="AA378"/>
      <c r="AF378" s="543"/>
      <c r="AV378"/>
      <c r="AW378"/>
      <c r="AX378"/>
      <c r="AY378"/>
    </row>
    <row r="379" spans="5:51" s="132" customFormat="1">
      <c r="E379" s="543"/>
      <c r="F379"/>
      <c r="G379"/>
      <c r="I379" s="543"/>
      <c r="O379" s="543"/>
      <c r="P379"/>
      <c r="R379"/>
      <c r="U379"/>
      <c r="V379" s="543"/>
      <c r="AA379"/>
      <c r="AF379" s="543"/>
      <c r="AV379"/>
      <c r="AW379"/>
      <c r="AX379"/>
      <c r="AY379"/>
    </row>
    <row r="380" spans="5:51" s="132" customFormat="1">
      <c r="E380" s="543"/>
      <c r="F380"/>
      <c r="G380"/>
      <c r="I380" s="543"/>
      <c r="O380" s="543"/>
      <c r="P380"/>
      <c r="R380"/>
      <c r="U380"/>
      <c r="V380" s="543"/>
      <c r="AA380"/>
      <c r="AF380" s="543"/>
      <c r="AV380"/>
      <c r="AW380"/>
      <c r="AX380"/>
      <c r="AY380"/>
    </row>
    <row r="381" spans="5:51" s="132" customFormat="1">
      <c r="E381" s="543"/>
      <c r="F381"/>
      <c r="G381"/>
      <c r="I381" s="543"/>
      <c r="O381" s="543"/>
      <c r="P381"/>
      <c r="R381"/>
      <c r="U381"/>
      <c r="V381" s="543"/>
      <c r="AA381"/>
      <c r="AF381" s="543"/>
      <c r="AV381"/>
      <c r="AW381"/>
      <c r="AX381"/>
      <c r="AY381"/>
    </row>
    <row r="382" spans="5:51" s="132" customFormat="1">
      <c r="E382" s="543"/>
      <c r="F382"/>
      <c r="G382"/>
      <c r="I382" s="543"/>
      <c r="O382" s="543"/>
      <c r="P382"/>
      <c r="R382"/>
      <c r="U382"/>
      <c r="V382" s="543"/>
      <c r="AA382"/>
      <c r="AF382" s="543"/>
      <c r="AV382"/>
      <c r="AW382"/>
      <c r="AX382"/>
      <c r="AY382"/>
    </row>
    <row r="383" spans="5:51" s="132" customFormat="1">
      <c r="E383" s="543"/>
      <c r="F383"/>
      <c r="G383"/>
      <c r="I383" s="543"/>
      <c r="O383" s="543"/>
      <c r="P383"/>
      <c r="R383"/>
      <c r="U383"/>
      <c r="V383" s="543"/>
      <c r="AA383"/>
      <c r="AF383" s="543"/>
      <c r="AV383"/>
      <c r="AW383"/>
      <c r="AX383"/>
      <c r="AY383"/>
    </row>
    <row r="384" spans="5:51" s="132" customFormat="1">
      <c r="E384" s="543"/>
      <c r="F384"/>
      <c r="G384"/>
      <c r="I384" s="543"/>
      <c r="O384" s="543"/>
      <c r="P384"/>
      <c r="R384"/>
      <c r="U384"/>
      <c r="V384" s="543"/>
      <c r="AA384"/>
      <c r="AF384" s="543"/>
      <c r="AV384"/>
      <c r="AW384"/>
      <c r="AX384"/>
      <c r="AY384"/>
    </row>
    <row r="385" spans="5:51" s="132" customFormat="1">
      <c r="E385" s="543"/>
      <c r="F385"/>
      <c r="G385"/>
      <c r="I385" s="543"/>
      <c r="O385" s="543"/>
      <c r="P385"/>
      <c r="R385"/>
      <c r="U385"/>
      <c r="V385" s="543"/>
      <c r="AA385"/>
      <c r="AF385" s="543"/>
      <c r="AV385"/>
      <c r="AW385"/>
      <c r="AX385"/>
      <c r="AY385"/>
    </row>
    <row r="386" spans="5:51" s="132" customFormat="1">
      <c r="E386" s="543"/>
      <c r="F386"/>
      <c r="G386"/>
      <c r="I386" s="543"/>
      <c r="O386" s="543"/>
      <c r="P386"/>
      <c r="R386"/>
      <c r="U386"/>
      <c r="V386" s="543"/>
      <c r="AA386"/>
      <c r="AF386" s="543"/>
      <c r="AV386"/>
      <c r="AW386"/>
      <c r="AX386"/>
      <c r="AY386"/>
    </row>
    <row r="387" spans="5:51" s="132" customFormat="1">
      <c r="E387" s="543"/>
      <c r="F387"/>
      <c r="G387"/>
      <c r="I387" s="543"/>
      <c r="O387" s="543"/>
      <c r="P387"/>
      <c r="R387"/>
      <c r="U387"/>
      <c r="V387" s="543"/>
      <c r="AA387"/>
      <c r="AF387" s="543"/>
      <c r="AV387"/>
      <c r="AW387"/>
      <c r="AX387"/>
      <c r="AY387"/>
    </row>
    <row r="388" spans="5:51" s="132" customFormat="1">
      <c r="E388" s="543"/>
      <c r="F388"/>
      <c r="G388"/>
      <c r="I388" s="543"/>
      <c r="O388" s="543"/>
      <c r="P388"/>
      <c r="R388"/>
      <c r="U388"/>
      <c r="V388" s="543"/>
      <c r="AA388"/>
      <c r="AF388" s="543"/>
      <c r="AV388"/>
      <c r="AW388"/>
      <c r="AX388"/>
      <c r="AY388"/>
    </row>
    <row r="389" spans="5:51" s="132" customFormat="1">
      <c r="E389" s="543"/>
      <c r="F389"/>
      <c r="G389"/>
      <c r="I389" s="543"/>
      <c r="O389" s="543"/>
      <c r="P389"/>
      <c r="R389"/>
      <c r="U389"/>
      <c r="V389" s="543"/>
      <c r="AA389"/>
      <c r="AF389" s="543"/>
      <c r="AV389"/>
      <c r="AW389"/>
      <c r="AX389"/>
      <c r="AY389"/>
    </row>
    <row r="390" spans="5:51" s="132" customFormat="1">
      <c r="E390" s="543"/>
      <c r="F390"/>
      <c r="G390"/>
      <c r="I390" s="543"/>
      <c r="O390" s="543"/>
      <c r="P390"/>
      <c r="R390"/>
      <c r="U390"/>
      <c r="V390" s="543"/>
      <c r="AA390"/>
      <c r="AF390" s="543"/>
      <c r="AV390"/>
      <c r="AW390"/>
      <c r="AX390"/>
      <c r="AY390"/>
    </row>
    <row r="391" spans="5:51" s="132" customFormat="1">
      <c r="E391" s="543"/>
      <c r="F391"/>
      <c r="G391"/>
      <c r="I391" s="543"/>
      <c r="O391" s="543"/>
      <c r="P391"/>
      <c r="R391"/>
      <c r="U391"/>
      <c r="V391" s="543"/>
      <c r="AA391"/>
      <c r="AF391" s="543"/>
      <c r="AV391"/>
      <c r="AW391"/>
      <c r="AX391"/>
      <c r="AY391"/>
    </row>
    <row r="392" spans="5:51" s="132" customFormat="1">
      <c r="E392" s="543"/>
      <c r="F392"/>
      <c r="G392"/>
      <c r="I392" s="543"/>
      <c r="O392" s="543"/>
      <c r="P392"/>
      <c r="R392"/>
      <c r="U392"/>
      <c r="V392" s="543"/>
      <c r="AA392"/>
      <c r="AF392" s="543"/>
      <c r="AV392"/>
      <c r="AW392"/>
      <c r="AX392"/>
      <c r="AY392"/>
    </row>
    <row r="393" spans="5:51" s="132" customFormat="1">
      <c r="E393" s="543"/>
      <c r="F393"/>
      <c r="G393"/>
      <c r="I393" s="543"/>
      <c r="O393" s="543"/>
      <c r="P393"/>
      <c r="R393"/>
      <c r="U393"/>
      <c r="V393" s="543"/>
      <c r="AA393"/>
      <c r="AF393" s="543"/>
      <c r="AV393"/>
      <c r="AW393"/>
      <c r="AX393"/>
      <c r="AY393"/>
    </row>
    <row r="394" spans="5:51" s="132" customFormat="1">
      <c r="E394" s="543"/>
      <c r="F394"/>
      <c r="G394"/>
      <c r="I394" s="543"/>
      <c r="O394" s="543"/>
      <c r="P394"/>
      <c r="R394"/>
      <c r="U394"/>
      <c r="V394" s="543"/>
      <c r="AA394"/>
      <c r="AF394" s="543"/>
      <c r="AV394"/>
      <c r="AW394"/>
      <c r="AX394"/>
      <c r="AY394"/>
    </row>
    <row r="395" spans="5:51" s="132" customFormat="1">
      <c r="E395" s="543"/>
      <c r="F395"/>
      <c r="G395"/>
      <c r="I395" s="543"/>
      <c r="O395" s="543"/>
      <c r="P395"/>
      <c r="R395"/>
      <c r="U395"/>
      <c r="V395" s="543"/>
      <c r="AA395"/>
      <c r="AF395" s="543"/>
      <c r="AV395"/>
      <c r="AW395"/>
      <c r="AX395"/>
      <c r="AY395"/>
    </row>
    <row r="396" spans="5:51" s="132" customFormat="1">
      <c r="E396" s="543"/>
      <c r="F396"/>
      <c r="G396"/>
      <c r="I396" s="543"/>
      <c r="O396" s="543"/>
      <c r="P396"/>
      <c r="R396"/>
      <c r="U396"/>
      <c r="V396" s="543"/>
      <c r="AA396"/>
      <c r="AF396" s="543"/>
      <c r="AV396"/>
      <c r="AW396"/>
      <c r="AX396"/>
      <c r="AY396"/>
    </row>
    <row r="397" spans="5:51" s="132" customFormat="1">
      <c r="E397" s="543"/>
      <c r="F397"/>
      <c r="G397"/>
      <c r="I397" s="543"/>
      <c r="O397" s="543"/>
      <c r="P397"/>
      <c r="R397"/>
      <c r="U397"/>
      <c r="V397" s="543"/>
      <c r="AA397"/>
      <c r="AF397" s="543"/>
      <c r="AV397"/>
      <c r="AW397"/>
      <c r="AX397"/>
      <c r="AY397"/>
    </row>
    <row r="398" spans="5:51" s="132" customFormat="1">
      <c r="E398" s="543"/>
      <c r="F398"/>
      <c r="G398"/>
      <c r="I398" s="543"/>
      <c r="O398" s="543"/>
      <c r="P398"/>
      <c r="R398"/>
      <c r="U398"/>
      <c r="V398" s="543"/>
      <c r="AA398"/>
      <c r="AF398" s="543"/>
      <c r="AV398"/>
      <c r="AW398"/>
      <c r="AX398"/>
      <c r="AY398"/>
    </row>
    <row r="399" spans="5:51" s="132" customFormat="1">
      <c r="E399" s="543"/>
      <c r="F399"/>
      <c r="G399"/>
      <c r="I399" s="543"/>
      <c r="O399" s="543"/>
      <c r="P399"/>
      <c r="R399"/>
      <c r="U399"/>
      <c r="V399" s="543"/>
      <c r="AA399"/>
      <c r="AF399" s="543"/>
      <c r="AV399"/>
      <c r="AW399"/>
      <c r="AX399"/>
      <c r="AY399"/>
    </row>
    <row r="400" spans="5:51" s="132" customFormat="1">
      <c r="E400" s="543"/>
      <c r="F400"/>
      <c r="G400"/>
      <c r="I400" s="543"/>
      <c r="O400" s="543"/>
      <c r="P400"/>
      <c r="R400"/>
      <c r="U400"/>
      <c r="V400" s="543"/>
      <c r="AA400"/>
      <c r="AF400" s="543"/>
      <c r="AV400"/>
      <c r="AW400"/>
      <c r="AX400"/>
      <c r="AY400"/>
    </row>
    <row r="401" spans="5:51" s="132" customFormat="1">
      <c r="E401" s="543"/>
      <c r="F401"/>
      <c r="G401"/>
      <c r="I401" s="543"/>
      <c r="O401" s="543"/>
      <c r="P401"/>
      <c r="R401"/>
      <c r="U401"/>
      <c r="V401" s="543"/>
      <c r="AA401"/>
      <c r="AF401" s="543"/>
      <c r="AV401"/>
      <c r="AW401"/>
      <c r="AX401"/>
      <c r="AY401"/>
    </row>
    <row r="402" spans="5:51" s="132" customFormat="1">
      <c r="E402" s="543"/>
      <c r="F402"/>
      <c r="G402"/>
      <c r="I402" s="543"/>
      <c r="O402" s="543"/>
      <c r="P402"/>
      <c r="R402"/>
      <c r="U402"/>
      <c r="V402" s="543"/>
      <c r="AA402"/>
      <c r="AF402" s="543"/>
      <c r="AV402"/>
      <c r="AW402"/>
      <c r="AX402"/>
      <c r="AY402"/>
    </row>
    <row r="403" spans="5:51" s="132" customFormat="1">
      <c r="E403" s="543"/>
      <c r="F403"/>
      <c r="G403"/>
      <c r="I403" s="543"/>
      <c r="O403" s="543"/>
      <c r="P403"/>
      <c r="R403"/>
      <c r="U403"/>
      <c r="V403" s="543"/>
      <c r="AA403"/>
      <c r="AF403" s="543"/>
      <c r="AV403"/>
      <c r="AW403"/>
      <c r="AX403"/>
      <c r="AY403"/>
    </row>
    <row r="404" spans="5:51" s="132" customFormat="1">
      <c r="E404" s="543"/>
      <c r="F404"/>
      <c r="G404"/>
      <c r="I404" s="543"/>
      <c r="O404" s="543"/>
      <c r="P404"/>
      <c r="R404"/>
      <c r="U404"/>
      <c r="V404" s="543"/>
      <c r="AA404"/>
      <c r="AF404" s="543"/>
      <c r="AV404"/>
      <c r="AW404"/>
      <c r="AX404"/>
      <c r="AY404"/>
    </row>
    <row r="405" spans="5:51" s="132" customFormat="1">
      <c r="E405" s="543"/>
      <c r="F405"/>
      <c r="G405"/>
      <c r="I405" s="543"/>
      <c r="O405" s="543"/>
      <c r="P405"/>
      <c r="R405"/>
      <c r="U405"/>
      <c r="V405" s="543"/>
      <c r="AA405"/>
      <c r="AF405" s="543"/>
      <c r="AV405"/>
      <c r="AW405"/>
      <c r="AX405"/>
      <c r="AY405"/>
    </row>
    <row r="406" spans="5:51" s="132" customFormat="1">
      <c r="E406" s="543"/>
      <c r="F406"/>
      <c r="G406"/>
      <c r="I406" s="543"/>
      <c r="O406" s="543"/>
      <c r="P406"/>
      <c r="R406"/>
      <c r="U406"/>
      <c r="V406" s="543"/>
      <c r="AA406"/>
      <c r="AF406" s="543"/>
      <c r="AV406"/>
      <c r="AW406"/>
      <c r="AX406"/>
      <c r="AY406"/>
    </row>
    <row r="407" spans="5:51" s="132" customFormat="1">
      <c r="E407" s="543"/>
      <c r="F407"/>
      <c r="G407"/>
      <c r="I407" s="543"/>
      <c r="O407" s="543"/>
      <c r="P407"/>
      <c r="R407"/>
      <c r="U407"/>
      <c r="V407" s="543"/>
      <c r="AA407"/>
      <c r="AF407" s="543"/>
      <c r="AV407"/>
      <c r="AW407"/>
      <c r="AX407"/>
      <c r="AY407"/>
    </row>
    <row r="408" spans="5:51" s="132" customFormat="1">
      <c r="E408" s="543"/>
      <c r="F408"/>
      <c r="G408"/>
      <c r="I408" s="543"/>
      <c r="O408" s="543"/>
      <c r="P408"/>
      <c r="R408"/>
      <c r="U408"/>
      <c r="V408" s="543"/>
      <c r="AA408"/>
      <c r="AF408" s="543"/>
      <c r="AV408"/>
      <c r="AW408"/>
      <c r="AX408"/>
      <c r="AY408"/>
    </row>
    <row r="409" spans="5:51" s="132" customFormat="1">
      <c r="E409" s="543"/>
      <c r="F409"/>
      <c r="G409"/>
      <c r="I409" s="543"/>
      <c r="O409" s="543"/>
      <c r="P409"/>
      <c r="R409"/>
      <c r="U409"/>
      <c r="V409" s="543"/>
      <c r="AA409"/>
      <c r="AF409" s="543"/>
      <c r="AV409"/>
      <c r="AW409"/>
      <c r="AX409"/>
      <c r="AY409"/>
    </row>
    <row r="410" spans="5:51" s="132" customFormat="1">
      <c r="E410" s="543"/>
      <c r="F410"/>
      <c r="G410"/>
      <c r="I410" s="543"/>
      <c r="O410" s="543"/>
      <c r="P410"/>
      <c r="R410"/>
      <c r="U410"/>
      <c r="V410" s="543"/>
      <c r="AA410"/>
      <c r="AF410" s="543"/>
      <c r="AV410"/>
      <c r="AW410"/>
      <c r="AX410"/>
      <c r="AY410"/>
    </row>
    <row r="411" spans="5:51" s="132" customFormat="1">
      <c r="E411" s="543"/>
      <c r="F411"/>
      <c r="G411"/>
      <c r="I411" s="543"/>
      <c r="O411" s="543"/>
      <c r="P411"/>
      <c r="R411"/>
      <c r="U411"/>
      <c r="V411" s="543"/>
      <c r="AA411"/>
      <c r="AF411" s="543"/>
      <c r="AV411"/>
      <c r="AW411"/>
      <c r="AX411"/>
      <c r="AY411"/>
    </row>
    <row r="412" spans="5:51" s="132" customFormat="1">
      <c r="E412" s="543"/>
      <c r="F412"/>
      <c r="G412"/>
      <c r="I412" s="543"/>
      <c r="O412" s="543"/>
      <c r="P412"/>
      <c r="R412"/>
      <c r="U412"/>
      <c r="V412" s="543"/>
      <c r="AA412"/>
      <c r="AF412" s="543"/>
      <c r="AV412"/>
      <c r="AW412"/>
      <c r="AX412"/>
      <c r="AY412"/>
    </row>
    <row r="413" spans="5:51" s="132" customFormat="1">
      <c r="E413" s="543"/>
      <c r="F413"/>
      <c r="G413"/>
      <c r="I413" s="543"/>
      <c r="O413" s="543"/>
      <c r="P413"/>
      <c r="R413"/>
      <c r="U413"/>
      <c r="V413" s="543"/>
      <c r="AA413"/>
      <c r="AF413" s="543"/>
      <c r="AV413"/>
      <c r="AW413"/>
      <c r="AX413"/>
      <c r="AY413"/>
    </row>
    <row r="414" spans="5:51" s="132" customFormat="1">
      <c r="E414" s="543"/>
      <c r="F414"/>
      <c r="G414"/>
      <c r="I414" s="543"/>
      <c r="O414" s="543"/>
      <c r="P414"/>
      <c r="R414"/>
      <c r="U414"/>
      <c r="V414" s="543"/>
      <c r="AA414"/>
      <c r="AF414" s="543"/>
      <c r="AV414"/>
      <c r="AW414"/>
      <c r="AX414"/>
      <c r="AY414"/>
    </row>
    <row r="415" spans="5:51" s="132" customFormat="1">
      <c r="E415" s="543"/>
      <c r="F415"/>
      <c r="G415"/>
      <c r="I415" s="543"/>
      <c r="O415" s="543"/>
      <c r="P415"/>
      <c r="R415"/>
      <c r="U415"/>
      <c r="V415" s="543"/>
      <c r="AA415"/>
      <c r="AF415" s="543"/>
      <c r="AV415"/>
      <c r="AW415"/>
      <c r="AX415"/>
      <c r="AY415"/>
    </row>
    <row r="416" spans="5:51" s="132" customFormat="1">
      <c r="E416" s="543"/>
      <c r="F416"/>
      <c r="G416"/>
      <c r="I416" s="543"/>
      <c r="O416" s="543"/>
      <c r="P416"/>
      <c r="R416"/>
      <c r="U416"/>
      <c r="V416" s="543"/>
      <c r="AA416"/>
      <c r="AF416" s="543"/>
      <c r="AV416"/>
      <c r="AW416"/>
      <c r="AX416"/>
      <c r="AY416"/>
    </row>
    <row r="417" spans="5:51" s="132" customFormat="1">
      <c r="E417" s="543"/>
      <c r="F417"/>
      <c r="G417"/>
      <c r="I417" s="543"/>
      <c r="O417" s="543"/>
      <c r="P417"/>
      <c r="R417"/>
      <c r="U417"/>
      <c r="V417" s="543"/>
      <c r="AA417"/>
      <c r="AF417" s="543"/>
      <c r="AV417"/>
      <c r="AW417"/>
      <c r="AX417"/>
      <c r="AY417"/>
    </row>
    <row r="418" spans="5:51" s="132" customFormat="1">
      <c r="E418" s="543"/>
      <c r="F418"/>
      <c r="G418"/>
      <c r="I418" s="543"/>
      <c r="O418" s="543"/>
      <c r="P418"/>
      <c r="R418"/>
      <c r="U418"/>
      <c r="V418" s="543"/>
      <c r="AA418"/>
      <c r="AF418" s="543"/>
      <c r="AV418"/>
      <c r="AW418"/>
      <c r="AX418"/>
      <c r="AY418"/>
    </row>
    <row r="419" spans="5:51" s="132" customFormat="1">
      <c r="E419" s="543"/>
      <c r="F419"/>
      <c r="G419"/>
      <c r="I419" s="543"/>
      <c r="O419" s="543"/>
      <c r="P419"/>
      <c r="R419"/>
      <c r="U419"/>
      <c r="V419" s="543"/>
      <c r="AA419"/>
      <c r="AF419" s="543"/>
      <c r="AV419"/>
      <c r="AW419"/>
      <c r="AX419"/>
      <c r="AY419"/>
    </row>
    <row r="420" spans="5:51" s="132" customFormat="1">
      <c r="E420" s="543"/>
      <c r="F420"/>
      <c r="G420"/>
      <c r="I420" s="543"/>
      <c r="O420" s="543"/>
      <c r="P420"/>
      <c r="R420"/>
      <c r="U420"/>
      <c r="V420" s="543"/>
      <c r="AA420"/>
      <c r="AF420" s="543"/>
      <c r="AV420"/>
      <c r="AW420"/>
      <c r="AX420"/>
      <c r="AY420"/>
    </row>
    <row r="421" spans="5:51" s="132" customFormat="1">
      <c r="E421" s="543"/>
      <c r="F421"/>
      <c r="G421"/>
      <c r="I421" s="543"/>
      <c r="O421" s="543"/>
      <c r="P421"/>
      <c r="R421"/>
      <c r="U421"/>
      <c r="V421" s="543"/>
      <c r="AA421"/>
      <c r="AF421" s="543"/>
      <c r="AV421"/>
      <c r="AW421"/>
      <c r="AX421"/>
      <c r="AY421"/>
    </row>
    <row r="422" spans="5:51" s="132" customFormat="1">
      <c r="E422" s="543"/>
      <c r="F422"/>
      <c r="G422"/>
      <c r="I422" s="543"/>
      <c r="O422" s="543"/>
      <c r="P422"/>
      <c r="R422"/>
      <c r="U422"/>
      <c r="V422" s="543"/>
      <c r="AA422"/>
      <c r="AF422" s="543"/>
      <c r="AV422"/>
      <c r="AW422"/>
      <c r="AX422"/>
      <c r="AY422"/>
    </row>
    <row r="423" spans="5:51" s="132" customFormat="1">
      <c r="E423" s="543"/>
      <c r="F423"/>
      <c r="G423"/>
      <c r="I423" s="543"/>
      <c r="O423" s="543"/>
      <c r="P423"/>
      <c r="R423"/>
      <c r="U423"/>
      <c r="V423" s="543"/>
      <c r="AA423"/>
      <c r="AF423" s="543"/>
      <c r="AV423"/>
      <c r="AW423"/>
      <c r="AX423"/>
      <c r="AY423"/>
    </row>
    <row r="424" spans="5:51" s="132" customFormat="1">
      <c r="E424" s="543"/>
      <c r="F424"/>
      <c r="G424"/>
      <c r="I424" s="543"/>
      <c r="O424" s="543"/>
      <c r="P424"/>
      <c r="R424"/>
      <c r="U424"/>
      <c r="V424" s="543"/>
      <c r="AA424"/>
      <c r="AF424" s="543"/>
      <c r="AV424"/>
      <c r="AW424"/>
      <c r="AX424"/>
      <c r="AY424"/>
    </row>
    <row r="425" spans="5:51" s="132" customFormat="1">
      <c r="E425" s="543"/>
      <c r="F425"/>
      <c r="G425"/>
      <c r="I425" s="543"/>
      <c r="O425" s="543"/>
      <c r="P425"/>
      <c r="R425"/>
      <c r="U425"/>
      <c r="V425" s="543"/>
      <c r="AA425"/>
      <c r="AF425" s="543"/>
      <c r="AV425"/>
      <c r="AW425"/>
      <c r="AX425"/>
      <c r="AY425"/>
    </row>
    <row r="426" spans="5:51" s="132" customFormat="1">
      <c r="E426" s="543"/>
      <c r="F426"/>
      <c r="G426"/>
      <c r="I426" s="543"/>
      <c r="O426" s="543"/>
      <c r="P426"/>
      <c r="R426"/>
      <c r="U426"/>
      <c r="V426" s="543"/>
      <c r="AA426"/>
      <c r="AF426" s="543"/>
      <c r="AV426"/>
      <c r="AW426"/>
      <c r="AX426"/>
      <c r="AY426"/>
    </row>
    <row r="427" spans="5:51" s="132" customFormat="1">
      <c r="E427" s="543"/>
      <c r="F427"/>
      <c r="G427"/>
      <c r="I427" s="543"/>
      <c r="O427" s="543"/>
      <c r="P427"/>
      <c r="R427"/>
      <c r="U427"/>
      <c r="V427" s="543"/>
      <c r="AA427"/>
      <c r="AF427" s="543"/>
      <c r="AV427"/>
      <c r="AW427"/>
      <c r="AX427"/>
      <c r="AY427"/>
    </row>
    <row r="428" spans="5:51" s="132" customFormat="1">
      <c r="E428" s="543"/>
      <c r="F428"/>
      <c r="G428"/>
      <c r="I428" s="543"/>
      <c r="O428" s="543"/>
      <c r="P428"/>
      <c r="R428"/>
      <c r="U428"/>
      <c r="V428" s="543"/>
      <c r="AA428"/>
      <c r="AF428" s="543"/>
      <c r="AV428"/>
      <c r="AW428"/>
      <c r="AX428"/>
      <c r="AY428"/>
    </row>
    <row r="429" spans="5:51" s="132" customFormat="1">
      <c r="E429" s="543"/>
      <c r="F429"/>
      <c r="G429"/>
      <c r="I429" s="543"/>
      <c r="O429" s="543"/>
      <c r="P429"/>
      <c r="R429"/>
      <c r="U429"/>
      <c r="V429" s="543"/>
      <c r="AA429"/>
      <c r="AF429" s="543"/>
      <c r="AV429"/>
      <c r="AW429"/>
      <c r="AX429"/>
      <c r="AY429"/>
    </row>
    <row r="430" spans="5:51" s="132" customFormat="1">
      <c r="E430" s="543"/>
      <c r="F430"/>
      <c r="G430"/>
      <c r="I430" s="543"/>
      <c r="O430" s="543"/>
      <c r="P430"/>
      <c r="R430"/>
      <c r="U430"/>
      <c r="V430" s="543"/>
      <c r="AA430"/>
      <c r="AF430" s="543"/>
      <c r="AV430"/>
      <c r="AW430"/>
      <c r="AX430"/>
      <c r="AY430"/>
    </row>
    <row r="431" spans="5:51" s="132" customFormat="1">
      <c r="E431" s="543"/>
      <c r="F431"/>
      <c r="G431"/>
      <c r="I431" s="543"/>
      <c r="O431" s="543"/>
      <c r="P431"/>
      <c r="R431"/>
      <c r="U431"/>
      <c r="V431" s="543"/>
      <c r="AA431"/>
      <c r="AF431" s="543"/>
      <c r="AV431"/>
      <c r="AW431"/>
      <c r="AX431"/>
      <c r="AY431"/>
    </row>
    <row r="432" spans="5:51" s="132" customFormat="1">
      <c r="E432" s="543"/>
      <c r="F432"/>
      <c r="G432"/>
      <c r="I432" s="543"/>
      <c r="O432" s="543"/>
      <c r="P432"/>
      <c r="R432"/>
      <c r="U432"/>
      <c r="V432" s="543"/>
      <c r="AA432"/>
      <c r="AF432" s="543"/>
      <c r="AV432"/>
      <c r="AW432"/>
      <c r="AX432"/>
      <c r="AY432"/>
    </row>
    <row r="433" spans="5:51" s="132" customFormat="1">
      <c r="E433" s="543"/>
      <c r="F433"/>
      <c r="G433"/>
      <c r="I433" s="543"/>
      <c r="O433" s="543"/>
      <c r="P433"/>
      <c r="R433"/>
      <c r="U433"/>
      <c r="V433" s="543"/>
      <c r="AA433"/>
      <c r="AF433" s="543"/>
      <c r="AV433"/>
      <c r="AW433"/>
      <c r="AX433"/>
      <c r="AY433"/>
    </row>
    <row r="434" spans="5:51" s="132" customFormat="1">
      <c r="E434" s="543"/>
      <c r="F434"/>
      <c r="G434"/>
      <c r="I434" s="543"/>
      <c r="O434" s="543"/>
      <c r="P434"/>
      <c r="R434"/>
      <c r="U434"/>
      <c r="V434" s="543"/>
      <c r="AA434"/>
      <c r="AF434" s="543"/>
      <c r="AV434"/>
      <c r="AW434"/>
      <c r="AX434"/>
      <c r="AY434"/>
    </row>
    <row r="435" spans="5:51" s="132" customFormat="1">
      <c r="E435" s="543"/>
      <c r="F435"/>
      <c r="G435"/>
      <c r="I435" s="543"/>
      <c r="O435" s="543"/>
      <c r="P435"/>
      <c r="R435"/>
      <c r="U435"/>
      <c r="V435" s="543"/>
      <c r="AA435"/>
      <c r="AF435" s="543"/>
      <c r="AV435"/>
      <c r="AW435"/>
      <c r="AX435"/>
      <c r="AY435"/>
    </row>
    <row r="436" spans="5:51" s="132" customFormat="1">
      <c r="E436" s="543"/>
      <c r="F436"/>
      <c r="G436"/>
      <c r="I436" s="543"/>
      <c r="O436" s="543"/>
      <c r="P436"/>
      <c r="R436"/>
      <c r="U436"/>
      <c r="V436" s="543"/>
      <c r="AA436"/>
      <c r="AF436" s="543"/>
      <c r="AV436"/>
      <c r="AW436"/>
      <c r="AX436"/>
      <c r="AY436"/>
    </row>
    <row r="437" spans="5:51" s="132" customFormat="1">
      <c r="E437" s="543"/>
      <c r="F437"/>
      <c r="G437"/>
      <c r="I437" s="543"/>
      <c r="O437" s="543"/>
      <c r="P437"/>
      <c r="R437"/>
      <c r="U437"/>
      <c r="V437" s="543"/>
      <c r="AA437"/>
      <c r="AF437" s="543"/>
      <c r="AV437"/>
      <c r="AW437"/>
      <c r="AX437"/>
      <c r="AY437"/>
    </row>
    <row r="438" spans="5:51" s="132" customFormat="1">
      <c r="E438" s="543"/>
      <c r="F438"/>
      <c r="G438"/>
      <c r="I438" s="543"/>
      <c r="O438" s="543"/>
      <c r="P438"/>
      <c r="R438"/>
      <c r="U438"/>
      <c r="V438" s="543"/>
      <c r="AA438"/>
      <c r="AF438" s="543"/>
      <c r="AV438"/>
      <c r="AW438"/>
      <c r="AX438"/>
      <c r="AY438"/>
    </row>
    <row r="439" spans="5:51" s="132" customFormat="1">
      <c r="E439" s="543"/>
      <c r="F439"/>
      <c r="G439"/>
      <c r="I439" s="543"/>
      <c r="O439" s="543"/>
      <c r="P439"/>
      <c r="R439"/>
      <c r="U439"/>
      <c r="V439" s="543"/>
      <c r="AA439"/>
      <c r="AF439" s="543"/>
      <c r="AV439"/>
      <c r="AW439"/>
      <c r="AX439"/>
      <c r="AY439"/>
    </row>
    <row r="440" spans="5:51" s="132" customFormat="1">
      <c r="E440" s="543"/>
      <c r="F440"/>
      <c r="G440"/>
      <c r="I440" s="543"/>
      <c r="O440" s="543"/>
      <c r="P440"/>
      <c r="R440"/>
      <c r="U440"/>
      <c r="V440" s="543"/>
      <c r="AA440"/>
      <c r="AF440" s="543"/>
      <c r="AV440"/>
      <c r="AW440"/>
      <c r="AX440"/>
      <c r="AY440"/>
    </row>
    <row r="441" spans="5:51" s="132" customFormat="1">
      <c r="E441" s="543"/>
      <c r="F441"/>
      <c r="G441"/>
      <c r="I441" s="543"/>
      <c r="O441" s="543"/>
      <c r="P441"/>
      <c r="R441"/>
      <c r="U441"/>
      <c r="V441" s="543"/>
      <c r="AA441"/>
      <c r="AF441" s="543"/>
      <c r="AV441"/>
      <c r="AW441"/>
      <c r="AX441"/>
      <c r="AY441"/>
    </row>
    <row r="442" spans="5:51" s="132" customFormat="1">
      <c r="E442" s="543"/>
      <c r="F442"/>
      <c r="G442"/>
      <c r="I442" s="543"/>
      <c r="O442" s="543"/>
      <c r="P442"/>
      <c r="R442"/>
      <c r="U442"/>
      <c r="V442" s="543"/>
      <c r="AA442"/>
      <c r="AF442" s="543"/>
      <c r="AV442"/>
      <c r="AW442"/>
      <c r="AX442"/>
      <c r="AY442"/>
    </row>
    <row r="443" spans="5:51" s="132" customFormat="1">
      <c r="E443" s="543"/>
      <c r="F443"/>
      <c r="G443"/>
      <c r="I443" s="543"/>
      <c r="O443" s="543"/>
      <c r="P443"/>
      <c r="R443"/>
      <c r="U443"/>
      <c r="V443" s="543"/>
      <c r="AA443"/>
      <c r="AF443" s="543"/>
      <c r="AV443"/>
      <c r="AW443"/>
      <c r="AX443"/>
      <c r="AY443"/>
    </row>
    <row r="444" spans="5:51" s="132" customFormat="1">
      <c r="E444" s="543"/>
      <c r="F444"/>
      <c r="G444"/>
      <c r="I444" s="543"/>
      <c r="O444" s="543"/>
      <c r="P444"/>
      <c r="R444"/>
      <c r="U444"/>
      <c r="V444" s="543"/>
      <c r="AA444"/>
      <c r="AF444" s="543"/>
      <c r="AV444"/>
      <c r="AW444"/>
      <c r="AX444"/>
      <c r="AY444"/>
    </row>
    <row r="445" spans="5:51" s="132" customFormat="1">
      <c r="E445" s="543"/>
      <c r="F445"/>
      <c r="G445"/>
      <c r="I445" s="543"/>
      <c r="O445" s="543"/>
      <c r="P445"/>
      <c r="R445"/>
      <c r="U445"/>
      <c r="V445" s="543"/>
      <c r="AA445"/>
      <c r="AF445" s="543"/>
      <c r="AV445"/>
      <c r="AW445"/>
      <c r="AX445"/>
      <c r="AY445"/>
    </row>
    <row r="446" spans="5:51" s="132" customFormat="1">
      <c r="E446" s="543"/>
      <c r="F446"/>
      <c r="G446"/>
      <c r="I446" s="543"/>
      <c r="O446" s="543"/>
      <c r="P446"/>
      <c r="R446"/>
      <c r="U446"/>
      <c r="V446" s="543"/>
      <c r="AA446"/>
      <c r="AF446" s="543"/>
      <c r="AV446"/>
      <c r="AW446"/>
      <c r="AX446"/>
      <c r="AY446"/>
    </row>
    <row r="447" spans="5:51" s="132" customFormat="1">
      <c r="E447" s="543"/>
      <c r="F447"/>
      <c r="G447"/>
      <c r="I447" s="543"/>
      <c r="O447" s="543"/>
      <c r="P447"/>
      <c r="R447"/>
      <c r="U447"/>
      <c r="V447" s="543"/>
      <c r="AA447"/>
      <c r="AF447" s="543"/>
      <c r="AV447"/>
      <c r="AW447"/>
      <c r="AX447"/>
      <c r="AY447"/>
    </row>
    <row r="448" spans="5:51" s="132" customFormat="1">
      <c r="E448" s="543"/>
      <c r="F448"/>
      <c r="G448"/>
      <c r="I448" s="543"/>
      <c r="O448" s="543"/>
      <c r="P448"/>
      <c r="R448"/>
      <c r="U448"/>
      <c r="V448" s="543"/>
      <c r="AA448"/>
      <c r="AF448" s="543"/>
      <c r="AV448"/>
      <c r="AW448"/>
      <c r="AX448"/>
      <c r="AY448"/>
    </row>
    <row r="449" spans="5:51" s="132" customFormat="1">
      <c r="E449" s="543"/>
      <c r="F449"/>
      <c r="G449"/>
      <c r="I449" s="543"/>
      <c r="O449" s="543"/>
      <c r="P449"/>
      <c r="R449"/>
      <c r="U449"/>
      <c r="V449" s="543"/>
      <c r="AA449"/>
      <c r="AF449" s="543"/>
      <c r="AV449"/>
      <c r="AW449"/>
      <c r="AX449"/>
      <c r="AY449"/>
    </row>
    <row r="450" spans="5:51" s="132" customFormat="1">
      <c r="E450" s="543"/>
      <c r="F450"/>
      <c r="G450"/>
      <c r="I450" s="543"/>
      <c r="O450" s="543"/>
      <c r="P450"/>
      <c r="R450"/>
      <c r="U450"/>
      <c r="V450" s="543"/>
      <c r="AA450"/>
      <c r="AF450" s="543"/>
      <c r="AV450"/>
      <c r="AW450"/>
      <c r="AX450"/>
      <c r="AY450"/>
    </row>
    <row r="451" spans="5:51" s="132" customFormat="1">
      <c r="E451" s="543"/>
      <c r="F451"/>
      <c r="G451"/>
      <c r="I451" s="543"/>
      <c r="O451" s="543"/>
      <c r="P451"/>
      <c r="R451"/>
      <c r="U451"/>
      <c r="V451" s="543"/>
      <c r="AA451"/>
      <c r="AF451" s="543"/>
      <c r="AV451"/>
      <c r="AW451"/>
      <c r="AX451"/>
      <c r="AY451"/>
    </row>
    <row r="452" spans="5:51" s="132" customFormat="1">
      <c r="E452" s="543"/>
      <c r="F452"/>
      <c r="G452"/>
      <c r="I452" s="543"/>
      <c r="O452" s="543"/>
      <c r="P452"/>
      <c r="R452"/>
      <c r="U452"/>
      <c r="V452" s="543"/>
      <c r="AA452"/>
      <c r="AF452" s="543"/>
      <c r="AV452"/>
      <c r="AW452"/>
      <c r="AX452"/>
      <c r="AY452"/>
    </row>
    <row r="453" spans="5:51" s="132" customFormat="1">
      <c r="E453" s="543"/>
      <c r="F453"/>
      <c r="G453"/>
      <c r="I453" s="543"/>
      <c r="O453" s="543"/>
      <c r="P453"/>
      <c r="R453"/>
      <c r="U453"/>
      <c r="V453" s="543"/>
      <c r="AA453"/>
      <c r="AF453" s="543"/>
      <c r="AV453"/>
      <c r="AW453"/>
      <c r="AX453"/>
      <c r="AY453"/>
    </row>
    <row r="454" spans="5:51" s="132" customFormat="1">
      <c r="E454" s="543"/>
      <c r="F454"/>
      <c r="G454"/>
      <c r="I454" s="543"/>
      <c r="O454" s="543"/>
      <c r="P454"/>
      <c r="R454"/>
      <c r="U454"/>
      <c r="V454" s="543"/>
      <c r="AA454"/>
      <c r="AF454" s="543"/>
      <c r="AV454"/>
      <c r="AW454"/>
      <c r="AX454"/>
      <c r="AY454"/>
    </row>
    <row r="455" spans="5:51" s="132" customFormat="1">
      <c r="E455" s="543"/>
      <c r="F455"/>
      <c r="G455"/>
      <c r="I455" s="543"/>
      <c r="O455" s="543"/>
      <c r="P455"/>
      <c r="R455"/>
      <c r="U455"/>
      <c r="V455" s="543"/>
      <c r="AA455"/>
      <c r="AF455" s="543"/>
      <c r="AV455"/>
      <c r="AW455"/>
      <c r="AX455"/>
      <c r="AY455"/>
    </row>
    <row r="456" spans="5:51" s="132" customFormat="1">
      <c r="E456" s="543"/>
      <c r="F456"/>
      <c r="G456"/>
      <c r="I456" s="543"/>
      <c r="O456" s="543"/>
      <c r="P456"/>
      <c r="R456"/>
      <c r="U456"/>
      <c r="V456" s="543"/>
      <c r="AA456"/>
      <c r="AF456" s="543"/>
      <c r="AV456"/>
      <c r="AW456"/>
      <c r="AX456"/>
      <c r="AY456"/>
    </row>
    <row r="457" spans="5:51" s="132" customFormat="1">
      <c r="E457" s="543"/>
      <c r="F457"/>
      <c r="G457"/>
      <c r="I457" s="543"/>
      <c r="O457" s="543"/>
      <c r="P457"/>
      <c r="R457"/>
      <c r="U457"/>
      <c r="V457" s="543"/>
      <c r="AA457"/>
      <c r="AF457" s="543"/>
      <c r="AV457"/>
      <c r="AW457"/>
      <c r="AX457"/>
      <c r="AY457"/>
    </row>
    <row r="458" spans="5:51" s="132" customFormat="1">
      <c r="E458" s="543"/>
      <c r="F458"/>
      <c r="G458"/>
      <c r="I458" s="543"/>
      <c r="O458" s="543"/>
      <c r="P458"/>
      <c r="R458"/>
      <c r="U458"/>
      <c r="V458" s="543"/>
      <c r="AA458"/>
      <c r="AF458" s="543"/>
      <c r="AV458"/>
      <c r="AW458"/>
      <c r="AX458"/>
      <c r="AY458"/>
    </row>
    <row r="459" spans="5:51" s="132" customFormat="1">
      <c r="E459" s="543"/>
      <c r="F459"/>
      <c r="G459"/>
      <c r="I459" s="543"/>
      <c r="O459" s="543"/>
      <c r="P459"/>
      <c r="R459"/>
      <c r="U459"/>
      <c r="V459" s="543"/>
      <c r="AA459"/>
      <c r="AF459" s="543"/>
      <c r="AV459"/>
      <c r="AW459"/>
      <c r="AX459"/>
      <c r="AY459"/>
    </row>
    <row r="460" spans="5:51" s="132" customFormat="1">
      <c r="E460" s="543"/>
      <c r="F460"/>
      <c r="G460"/>
      <c r="I460" s="543"/>
      <c r="O460" s="543"/>
      <c r="P460"/>
      <c r="R460"/>
      <c r="U460"/>
      <c r="V460" s="543"/>
      <c r="AA460"/>
      <c r="AF460" s="543"/>
      <c r="AV460"/>
      <c r="AW460"/>
      <c r="AX460"/>
      <c r="AY460"/>
    </row>
    <row r="461" spans="5:51" s="132" customFormat="1">
      <c r="E461" s="543"/>
      <c r="F461"/>
      <c r="G461"/>
      <c r="I461" s="543"/>
      <c r="O461" s="543"/>
      <c r="P461"/>
      <c r="R461"/>
      <c r="U461"/>
      <c r="V461" s="543"/>
      <c r="AA461"/>
      <c r="AF461" s="543"/>
      <c r="AV461"/>
      <c r="AW461"/>
      <c r="AX461"/>
      <c r="AY461"/>
    </row>
    <row r="462" spans="5:51" s="132" customFormat="1">
      <c r="E462" s="543"/>
      <c r="F462"/>
      <c r="G462"/>
      <c r="I462" s="543"/>
      <c r="O462" s="543"/>
      <c r="P462"/>
      <c r="R462"/>
      <c r="U462"/>
      <c r="V462" s="543"/>
      <c r="AA462"/>
      <c r="AF462" s="543"/>
      <c r="AV462"/>
      <c r="AW462"/>
      <c r="AX462"/>
      <c r="AY462"/>
    </row>
    <row r="463" spans="5:51" s="132" customFormat="1">
      <c r="E463" s="543"/>
      <c r="F463"/>
      <c r="G463"/>
      <c r="I463" s="543"/>
      <c r="O463" s="543"/>
      <c r="P463"/>
      <c r="R463"/>
      <c r="U463"/>
      <c r="V463" s="543"/>
      <c r="AA463"/>
      <c r="AF463" s="543"/>
      <c r="AV463"/>
      <c r="AW463"/>
      <c r="AX463"/>
      <c r="AY463"/>
    </row>
    <row r="464" spans="5:51" s="132" customFormat="1">
      <c r="E464" s="543"/>
      <c r="F464"/>
      <c r="G464"/>
      <c r="I464" s="543"/>
      <c r="O464" s="543"/>
      <c r="P464"/>
      <c r="R464"/>
      <c r="U464"/>
      <c r="V464" s="543"/>
      <c r="AA464"/>
      <c r="AF464" s="543"/>
      <c r="AV464"/>
      <c r="AW464"/>
      <c r="AX464"/>
      <c r="AY464"/>
    </row>
    <row r="465" spans="5:51" s="132" customFormat="1">
      <c r="E465" s="543"/>
      <c r="F465"/>
      <c r="G465"/>
      <c r="I465" s="543"/>
      <c r="O465" s="543"/>
      <c r="P465"/>
      <c r="R465"/>
      <c r="U465"/>
      <c r="V465" s="543"/>
      <c r="AA465"/>
      <c r="AF465" s="543"/>
      <c r="AV465"/>
      <c r="AW465"/>
      <c r="AX465"/>
      <c r="AY465"/>
    </row>
    <row r="466" spans="5:51" s="132" customFormat="1">
      <c r="E466" s="543"/>
      <c r="F466"/>
      <c r="G466"/>
      <c r="I466" s="543"/>
      <c r="O466" s="543"/>
      <c r="P466"/>
      <c r="R466"/>
      <c r="U466"/>
      <c r="V466" s="543"/>
      <c r="AA466"/>
      <c r="AF466" s="543"/>
      <c r="AV466"/>
      <c r="AW466"/>
      <c r="AX466"/>
      <c r="AY466"/>
    </row>
    <row r="467" spans="5:51" s="132" customFormat="1">
      <c r="E467" s="543"/>
      <c r="F467"/>
      <c r="G467"/>
      <c r="I467" s="543"/>
      <c r="O467" s="543"/>
      <c r="P467"/>
      <c r="R467"/>
      <c r="U467"/>
      <c r="V467" s="543"/>
      <c r="AA467"/>
      <c r="AF467" s="543"/>
      <c r="AV467"/>
      <c r="AW467"/>
      <c r="AX467"/>
      <c r="AY467"/>
    </row>
    <row r="468" spans="5:51" s="132" customFormat="1">
      <c r="E468" s="543"/>
      <c r="F468"/>
      <c r="G468"/>
      <c r="I468" s="543"/>
      <c r="O468" s="543"/>
      <c r="P468"/>
      <c r="R468"/>
      <c r="U468"/>
      <c r="V468" s="543"/>
      <c r="AA468"/>
      <c r="AF468" s="543"/>
      <c r="AV468"/>
      <c r="AW468"/>
      <c r="AX468"/>
      <c r="AY468"/>
    </row>
    <row r="469" spans="5:51" s="132" customFormat="1">
      <c r="E469" s="543"/>
      <c r="F469"/>
      <c r="G469"/>
      <c r="I469" s="543"/>
      <c r="O469" s="543"/>
      <c r="P469"/>
      <c r="R469"/>
      <c r="U469"/>
      <c r="V469" s="543"/>
      <c r="AA469"/>
      <c r="AF469" s="543"/>
      <c r="AV469"/>
      <c r="AW469"/>
      <c r="AX469"/>
      <c r="AY469"/>
    </row>
    <row r="470" spans="5:51" s="132" customFormat="1">
      <c r="E470" s="543"/>
      <c r="F470"/>
      <c r="G470"/>
      <c r="I470" s="543"/>
      <c r="O470" s="543"/>
      <c r="P470"/>
      <c r="R470"/>
      <c r="U470"/>
      <c r="V470" s="543"/>
      <c r="AA470"/>
      <c r="AF470" s="543"/>
      <c r="AV470"/>
      <c r="AW470"/>
      <c r="AX470"/>
      <c r="AY470"/>
    </row>
    <row r="471" spans="5:51" s="132" customFormat="1">
      <c r="E471" s="543"/>
      <c r="F471"/>
      <c r="G471"/>
      <c r="I471" s="543"/>
      <c r="O471" s="543"/>
      <c r="P471"/>
      <c r="R471"/>
      <c r="U471"/>
      <c r="V471" s="543"/>
      <c r="AA471"/>
      <c r="AF471" s="543"/>
      <c r="AV471"/>
      <c r="AW471"/>
      <c r="AX471"/>
      <c r="AY471"/>
    </row>
    <row r="472" spans="5:51" s="132" customFormat="1">
      <c r="E472" s="543"/>
      <c r="F472"/>
      <c r="G472"/>
      <c r="I472" s="543"/>
      <c r="O472" s="543"/>
      <c r="P472"/>
      <c r="R472"/>
      <c r="U472"/>
      <c r="V472" s="543"/>
      <c r="AA472"/>
      <c r="AF472" s="543"/>
      <c r="AV472"/>
      <c r="AW472"/>
      <c r="AX472"/>
      <c r="AY472"/>
    </row>
    <row r="473" spans="5:51" s="132" customFormat="1">
      <c r="E473" s="543"/>
      <c r="F473"/>
      <c r="G473"/>
      <c r="I473" s="543"/>
      <c r="O473" s="543"/>
      <c r="P473"/>
      <c r="R473"/>
      <c r="U473"/>
      <c r="V473" s="543"/>
      <c r="AA473"/>
      <c r="AF473" s="543"/>
      <c r="AV473"/>
      <c r="AW473"/>
      <c r="AX473"/>
      <c r="AY473"/>
    </row>
    <row r="474" spans="5:51" s="132" customFormat="1">
      <c r="E474" s="543"/>
      <c r="F474"/>
      <c r="G474"/>
      <c r="I474" s="543"/>
      <c r="O474" s="543"/>
      <c r="P474"/>
      <c r="R474"/>
      <c r="U474"/>
      <c r="V474" s="543"/>
      <c r="AA474"/>
      <c r="AF474" s="543"/>
      <c r="AV474"/>
      <c r="AW474"/>
      <c r="AX474"/>
      <c r="AY474"/>
    </row>
    <row r="475" spans="5:51" s="132" customFormat="1">
      <c r="E475" s="543"/>
      <c r="F475"/>
      <c r="G475"/>
      <c r="I475" s="543"/>
      <c r="O475" s="543"/>
      <c r="P475"/>
      <c r="R475"/>
      <c r="U475"/>
      <c r="V475" s="543"/>
      <c r="AA475"/>
      <c r="AF475" s="543"/>
      <c r="AV475"/>
      <c r="AW475"/>
      <c r="AX475"/>
      <c r="AY475"/>
    </row>
    <row r="476" spans="5:51" s="132" customFormat="1">
      <c r="E476" s="543"/>
      <c r="F476"/>
      <c r="G476"/>
      <c r="I476" s="543"/>
      <c r="O476" s="543"/>
      <c r="P476"/>
      <c r="R476"/>
      <c r="U476"/>
      <c r="V476" s="543"/>
      <c r="AA476"/>
      <c r="AF476" s="543"/>
      <c r="AV476"/>
      <c r="AW476"/>
      <c r="AX476"/>
      <c r="AY476"/>
    </row>
    <row r="477" spans="5:51" s="132" customFormat="1">
      <c r="E477" s="543"/>
      <c r="F477"/>
      <c r="G477"/>
      <c r="I477" s="543"/>
      <c r="O477" s="543"/>
      <c r="P477"/>
      <c r="R477"/>
      <c r="U477"/>
      <c r="V477" s="543"/>
      <c r="AA477"/>
      <c r="AF477" s="543"/>
      <c r="AV477"/>
      <c r="AW477"/>
      <c r="AX477"/>
      <c r="AY477"/>
    </row>
    <row r="478" spans="5:51" s="132" customFormat="1">
      <c r="E478" s="543"/>
      <c r="F478"/>
      <c r="G478"/>
      <c r="I478" s="543"/>
      <c r="O478" s="543"/>
      <c r="P478"/>
      <c r="R478"/>
      <c r="U478"/>
      <c r="V478" s="543"/>
      <c r="AA478"/>
      <c r="AF478" s="543"/>
      <c r="AV478"/>
      <c r="AW478"/>
      <c r="AX478"/>
      <c r="AY478"/>
    </row>
    <row r="479" spans="5:51" s="132" customFormat="1">
      <c r="E479" s="543"/>
      <c r="F479"/>
      <c r="G479"/>
      <c r="I479" s="543"/>
      <c r="O479" s="543"/>
      <c r="P479"/>
      <c r="R479"/>
      <c r="U479"/>
      <c r="V479" s="543"/>
      <c r="AA479"/>
      <c r="AF479" s="543"/>
      <c r="AV479"/>
      <c r="AW479"/>
      <c r="AX479"/>
      <c r="AY479"/>
    </row>
    <row r="480" spans="5:51" s="132" customFormat="1">
      <c r="E480" s="543"/>
      <c r="F480"/>
      <c r="G480"/>
      <c r="I480" s="543"/>
      <c r="O480" s="543"/>
      <c r="P480"/>
      <c r="R480"/>
      <c r="U480"/>
      <c r="V480" s="543"/>
      <c r="AA480"/>
      <c r="AF480" s="543"/>
      <c r="AV480"/>
      <c r="AW480"/>
      <c r="AX480"/>
      <c r="AY480"/>
    </row>
    <row r="481" spans="5:51" s="132" customFormat="1">
      <c r="E481" s="543"/>
      <c r="F481"/>
      <c r="G481"/>
      <c r="I481" s="543"/>
      <c r="O481" s="543"/>
      <c r="P481"/>
      <c r="R481"/>
      <c r="U481"/>
      <c r="V481" s="543"/>
      <c r="AA481"/>
      <c r="AF481" s="543"/>
      <c r="AV481"/>
      <c r="AW481"/>
      <c r="AX481"/>
      <c r="AY481"/>
    </row>
    <row r="482" spans="5:51" s="132" customFormat="1">
      <c r="E482" s="543"/>
      <c r="F482"/>
      <c r="G482"/>
      <c r="I482" s="543"/>
      <c r="O482" s="543"/>
      <c r="P482"/>
      <c r="R482"/>
      <c r="U482"/>
      <c r="V482" s="543"/>
      <c r="AA482"/>
      <c r="AF482" s="543"/>
      <c r="AV482"/>
      <c r="AW482"/>
      <c r="AX482"/>
      <c r="AY482"/>
    </row>
    <row r="483" spans="5:51" s="132" customFormat="1">
      <c r="E483" s="543"/>
      <c r="F483"/>
      <c r="G483"/>
      <c r="I483" s="543"/>
      <c r="O483" s="543"/>
      <c r="P483"/>
      <c r="R483"/>
      <c r="U483"/>
      <c r="V483" s="543"/>
      <c r="AA483"/>
      <c r="AF483" s="543"/>
      <c r="AV483"/>
      <c r="AW483"/>
      <c r="AX483"/>
      <c r="AY483"/>
    </row>
    <row r="484" spans="5:51" s="132" customFormat="1">
      <c r="E484" s="543"/>
      <c r="F484"/>
      <c r="G484"/>
      <c r="I484" s="543"/>
      <c r="O484" s="543"/>
      <c r="P484"/>
      <c r="R484"/>
      <c r="U484"/>
      <c r="V484" s="543"/>
      <c r="AA484"/>
      <c r="AF484" s="543"/>
      <c r="AV484"/>
      <c r="AW484"/>
      <c r="AX484"/>
      <c r="AY484"/>
    </row>
    <row r="485" spans="5:51" s="132" customFormat="1">
      <c r="E485" s="543"/>
      <c r="F485"/>
      <c r="G485"/>
      <c r="I485" s="543"/>
      <c r="O485" s="543"/>
      <c r="P485"/>
      <c r="R485"/>
      <c r="U485"/>
      <c r="V485" s="543"/>
      <c r="AA485"/>
      <c r="AF485" s="543"/>
      <c r="AV485"/>
      <c r="AW485"/>
      <c r="AX485"/>
      <c r="AY485"/>
    </row>
    <row r="486" spans="5:51" s="132" customFormat="1">
      <c r="E486" s="543"/>
      <c r="F486"/>
      <c r="G486"/>
      <c r="I486" s="543"/>
      <c r="O486" s="543"/>
      <c r="P486"/>
      <c r="R486"/>
      <c r="U486"/>
      <c r="V486" s="543"/>
      <c r="AA486"/>
      <c r="AF486" s="543"/>
      <c r="AV486"/>
      <c r="AW486"/>
      <c r="AX486"/>
      <c r="AY486"/>
    </row>
    <row r="487" spans="5:51" s="132" customFormat="1">
      <c r="E487" s="543"/>
      <c r="F487"/>
      <c r="G487"/>
      <c r="I487" s="543"/>
      <c r="O487" s="543"/>
      <c r="P487"/>
      <c r="R487"/>
      <c r="U487"/>
      <c r="V487" s="543"/>
      <c r="AA487"/>
      <c r="AF487" s="543"/>
      <c r="AV487"/>
      <c r="AW487"/>
      <c r="AX487"/>
      <c r="AY487"/>
    </row>
    <row r="488" spans="5:51" s="132" customFormat="1">
      <c r="E488" s="543"/>
      <c r="F488"/>
      <c r="G488"/>
      <c r="I488" s="543"/>
      <c r="O488" s="543"/>
      <c r="P488"/>
      <c r="R488"/>
      <c r="U488"/>
      <c r="V488" s="543"/>
      <c r="AA488"/>
      <c r="AF488" s="543"/>
      <c r="AV488"/>
      <c r="AW488"/>
      <c r="AX488"/>
      <c r="AY488"/>
    </row>
    <row r="489" spans="5:51" s="132" customFormat="1">
      <c r="E489" s="543"/>
      <c r="F489"/>
      <c r="G489"/>
      <c r="I489" s="543"/>
      <c r="O489" s="543"/>
      <c r="P489"/>
      <c r="R489"/>
      <c r="U489"/>
      <c r="V489" s="543"/>
      <c r="AA489"/>
      <c r="AF489" s="543"/>
      <c r="AV489"/>
      <c r="AW489"/>
      <c r="AX489"/>
      <c r="AY489"/>
    </row>
    <row r="490" spans="5:51" s="132" customFormat="1">
      <c r="E490" s="543"/>
      <c r="F490"/>
      <c r="G490"/>
      <c r="I490" s="543"/>
      <c r="O490" s="543"/>
      <c r="P490"/>
      <c r="R490"/>
      <c r="U490"/>
      <c r="V490" s="543"/>
      <c r="AA490"/>
      <c r="AF490" s="543"/>
      <c r="AV490"/>
      <c r="AW490"/>
      <c r="AX490"/>
      <c r="AY490"/>
    </row>
    <row r="491" spans="5:51" s="132" customFormat="1">
      <c r="E491" s="543"/>
      <c r="F491"/>
      <c r="G491"/>
      <c r="I491" s="543"/>
      <c r="O491" s="543"/>
      <c r="P491"/>
      <c r="R491"/>
      <c r="U491"/>
      <c r="V491" s="543"/>
      <c r="AA491"/>
      <c r="AF491" s="543"/>
      <c r="AV491"/>
      <c r="AW491"/>
      <c r="AX491"/>
      <c r="AY491"/>
    </row>
    <row r="492" spans="5:51" s="132" customFormat="1">
      <c r="E492" s="543"/>
      <c r="F492"/>
      <c r="G492"/>
      <c r="I492" s="543"/>
      <c r="O492" s="543"/>
      <c r="P492"/>
      <c r="R492"/>
      <c r="U492"/>
      <c r="V492" s="543"/>
      <c r="AA492"/>
      <c r="AF492" s="543"/>
      <c r="AV492"/>
      <c r="AW492"/>
      <c r="AX492"/>
      <c r="AY492"/>
    </row>
    <row r="493" spans="5:51" s="132" customFormat="1">
      <c r="E493" s="543"/>
      <c r="F493"/>
      <c r="G493"/>
      <c r="I493" s="543"/>
      <c r="O493" s="543"/>
      <c r="P493"/>
      <c r="R493"/>
      <c r="U493"/>
      <c r="V493" s="543"/>
      <c r="AA493"/>
      <c r="AF493" s="543"/>
      <c r="AV493"/>
      <c r="AW493"/>
      <c r="AX493"/>
      <c r="AY493"/>
    </row>
    <row r="494" spans="5:51" s="132" customFormat="1">
      <c r="E494" s="543"/>
      <c r="F494"/>
      <c r="G494"/>
      <c r="I494" s="543"/>
      <c r="O494" s="543"/>
      <c r="P494"/>
      <c r="R494"/>
      <c r="U494"/>
      <c r="V494" s="543"/>
      <c r="AA494"/>
      <c r="AF494" s="543"/>
      <c r="AV494"/>
      <c r="AW494"/>
      <c r="AX494"/>
      <c r="AY494"/>
    </row>
    <row r="495" spans="5:51" s="132" customFormat="1">
      <c r="E495" s="543"/>
      <c r="F495"/>
      <c r="G495"/>
      <c r="I495" s="543"/>
      <c r="O495" s="543"/>
      <c r="P495"/>
      <c r="R495"/>
      <c r="U495"/>
      <c r="V495" s="543"/>
      <c r="AA495"/>
      <c r="AF495" s="543"/>
      <c r="AV495"/>
      <c r="AW495"/>
      <c r="AX495"/>
      <c r="AY495"/>
    </row>
    <row r="496" spans="5:51" s="132" customFormat="1">
      <c r="E496" s="543"/>
      <c r="F496"/>
      <c r="G496"/>
      <c r="I496" s="543"/>
      <c r="O496" s="543"/>
      <c r="P496"/>
      <c r="R496"/>
      <c r="U496"/>
      <c r="V496" s="543"/>
      <c r="AA496"/>
      <c r="AF496" s="543"/>
      <c r="AV496"/>
      <c r="AW496"/>
      <c r="AX496"/>
      <c r="AY496"/>
    </row>
    <row r="497" spans="5:51" s="132" customFormat="1">
      <c r="E497" s="543"/>
      <c r="F497"/>
      <c r="G497"/>
      <c r="I497" s="543"/>
      <c r="O497" s="543"/>
      <c r="P497"/>
      <c r="R497"/>
      <c r="U497"/>
      <c r="V497" s="543"/>
      <c r="AA497"/>
      <c r="AF497" s="543"/>
      <c r="AV497"/>
      <c r="AW497"/>
      <c r="AX497"/>
      <c r="AY497"/>
    </row>
    <row r="498" spans="5:51" s="132" customFormat="1">
      <c r="E498" s="543"/>
      <c r="F498"/>
      <c r="G498"/>
      <c r="I498" s="543"/>
      <c r="O498" s="543"/>
      <c r="P498"/>
      <c r="R498"/>
      <c r="U498"/>
      <c r="V498" s="543"/>
      <c r="AA498"/>
      <c r="AF498" s="543"/>
      <c r="AV498"/>
      <c r="AW498"/>
      <c r="AX498"/>
      <c r="AY498"/>
    </row>
    <row r="499" spans="5:51" s="132" customFormat="1">
      <c r="E499" s="543"/>
      <c r="F499"/>
      <c r="G499"/>
      <c r="I499" s="543"/>
      <c r="O499" s="543"/>
      <c r="P499"/>
      <c r="R499"/>
      <c r="U499"/>
      <c r="V499" s="543"/>
      <c r="AA499"/>
      <c r="AF499" s="543"/>
      <c r="AV499"/>
      <c r="AW499"/>
      <c r="AX499"/>
      <c r="AY499"/>
    </row>
    <row r="500" spans="5:51" s="132" customFormat="1">
      <c r="E500" s="543"/>
      <c r="F500"/>
      <c r="G500"/>
      <c r="I500" s="543"/>
      <c r="O500" s="543"/>
      <c r="P500"/>
      <c r="R500"/>
      <c r="U500"/>
      <c r="V500" s="543"/>
      <c r="AA500"/>
      <c r="AF500" s="543"/>
      <c r="AV500"/>
      <c r="AW500"/>
      <c r="AX500"/>
      <c r="AY500"/>
    </row>
    <row r="501" spans="5:51" s="132" customFormat="1">
      <c r="E501" s="543"/>
      <c r="F501"/>
      <c r="G501"/>
      <c r="I501" s="543"/>
      <c r="O501" s="543"/>
      <c r="P501"/>
      <c r="R501"/>
      <c r="U501"/>
      <c r="V501" s="543"/>
      <c r="AA501"/>
      <c r="AF501" s="543"/>
      <c r="AV501"/>
      <c r="AW501"/>
      <c r="AX501"/>
      <c r="AY501"/>
    </row>
    <row r="502" spans="5:51" s="132" customFormat="1">
      <c r="E502" s="543"/>
      <c r="F502"/>
      <c r="G502"/>
      <c r="I502" s="543"/>
      <c r="O502" s="543"/>
      <c r="P502"/>
      <c r="R502"/>
      <c r="U502"/>
      <c r="V502" s="543"/>
      <c r="AA502"/>
      <c r="AF502" s="543"/>
      <c r="AV502"/>
      <c r="AW502"/>
      <c r="AX502"/>
      <c r="AY502"/>
    </row>
    <row r="503" spans="5:51" s="132" customFormat="1">
      <c r="E503" s="543"/>
      <c r="F503"/>
      <c r="G503"/>
      <c r="I503" s="543"/>
      <c r="O503" s="543"/>
      <c r="P503"/>
      <c r="R503"/>
      <c r="U503"/>
      <c r="V503" s="543"/>
      <c r="AA503"/>
      <c r="AF503" s="543"/>
      <c r="AV503"/>
      <c r="AW503"/>
      <c r="AX503"/>
      <c r="AY503"/>
    </row>
    <row r="504" spans="5:51" s="132" customFormat="1">
      <c r="E504" s="543"/>
      <c r="F504"/>
      <c r="G504"/>
      <c r="I504" s="543"/>
      <c r="O504" s="543"/>
      <c r="P504"/>
      <c r="R504"/>
      <c r="U504"/>
      <c r="V504" s="543"/>
      <c r="AA504"/>
      <c r="AF504" s="543"/>
      <c r="AV504"/>
      <c r="AW504"/>
      <c r="AX504"/>
      <c r="AY504"/>
    </row>
    <row r="505" spans="5:51" s="132" customFormat="1">
      <c r="E505" s="543"/>
      <c r="F505"/>
      <c r="G505"/>
      <c r="I505" s="543"/>
      <c r="O505" s="543"/>
      <c r="P505"/>
      <c r="R505"/>
      <c r="U505"/>
      <c r="V505" s="543"/>
      <c r="AA505"/>
      <c r="AF505" s="543"/>
      <c r="AV505"/>
      <c r="AW505"/>
      <c r="AX505"/>
      <c r="AY505"/>
    </row>
    <row r="506" spans="5:51" s="132" customFormat="1">
      <c r="E506" s="543"/>
      <c r="F506"/>
      <c r="G506"/>
      <c r="I506" s="543"/>
      <c r="O506" s="543"/>
      <c r="P506"/>
      <c r="R506"/>
      <c r="U506"/>
      <c r="V506" s="543"/>
      <c r="AA506"/>
      <c r="AF506" s="543"/>
      <c r="AV506"/>
      <c r="AW506"/>
      <c r="AX506"/>
      <c r="AY506"/>
    </row>
    <row r="507" spans="5:51" s="132" customFormat="1">
      <c r="E507" s="543"/>
      <c r="F507"/>
      <c r="G507"/>
      <c r="I507" s="543"/>
      <c r="O507" s="543"/>
      <c r="P507"/>
      <c r="R507"/>
      <c r="U507"/>
      <c r="V507" s="543"/>
      <c r="AA507"/>
      <c r="AF507" s="543"/>
      <c r="AV507"/>
      <c r="AW507"/>
      <c r="AX507"/>
      <c r="AY507"/>
    </row>
    <row r="508" spans="5:51" s="132" customFormat="1">
      <c r="E508" s="543"/>
      <c r="F508"/>
      <c r="G508"/>
      <c r="I508" s="543"/>
      <c r="O508" s="543"/>
      <c r="P508"/>
      <c r="R508"/>
      <c r="U508"/>
      <c r="V508" s="543"/>
      <c r="AA508"/>
      <c r="AF508" s="543"/>
      <c r="AV508"/>
      <c r="AW508"/>
      <c r="AX508"/>
      <c r="AY508"/>
    </row>
    <row r="509" spans="5:51" s="132" customFormat="1">
      <c r="E509" s="543"/>
      <c r="F509"/>
      <c r="G509"/>
      <c r="I509" s="543"/>
      <c r="O509" s="543"/>
      <c r="P509"/>
      <c r="R509"/>
      <c r="U509"/>
      <c r="V509" s="543"/>
      <c r="AA509"/>
      <c r="AF509" s="543"/>
      <c r="AV509"/>
      <c r="AW509"/>
      <c r="AX509"/>
      <c r="AY509"/>
    </row>
    <row r="510" spans="5:51" s="132" customFormat="1">
      <c r="E510" s="543"/>
      <c r="F510"/>
      <c r="G510"/>
      <c r="I510" s="543"/>
      <c r="O510" s="543"/>
      <c r="P510"/>
      <c r="R510"/>
      <c r="U510"/>
      <c r="V510" s="543"/>
      <c r="AA510"/>
      <c r="AF510" s="543"/>
      <c r="AV510"/>
      <c r="AW510"/>
      <c r="AX510"/>
      <c r="AY510"/>
    </row>
    <row r="511" spans="5:51" s="132" customFormat="1">
      <c r="E511" s="543"/>
      <c r="F511"/>
      <c r="G511"/>
      <c r="I511" s="543"/>
      <c r="O511" s="543"/>
      <c r="P511"/>
      <c r="R511"/>
      <c r="U511"/>
      <c r="V511" s="543"/>
      <c r="AA511"/>
      <c r="AF511" s="543"/>
      <c r="AV511"/>
      <c r="AW511"/>
      <c r="AX511"/>
      <c r="AY511"/>
    </row>
    <row r="512" spans="5:51" s="132" customFormat="1">
      <c r="E512" s="543"/>
      <c r="F512"/>
      <c r="G512"/>
      <c r="I512" s="543"/>
      <c r="O512" s="543"/>
      <c r="P512"/>
      <c r="R512"/>
      <c r="U512"/>
      <c r="V512" s="543"/>
      <c r="AA512"/>
      <c r="AF512" s="543"/>
      <c r="AV512"/>
      <c r="AW512"/>
      <c r="AX512"/>
      <c r="AY512"/>
    </row>
    <row r="513" spans="5:57" s="132" customFormat="1">
      <c r="E513" s="543"/>
      <c r="F513"/>
      <c r="G513"/>
      <c r="I513" s="543"/>
      <c r="O513" s="543"/>
      <c r="P513"/>
      <c r="R513"/>
      <c r="U513"/>
      <c r="V513" s="543"/>
      <c r="AA513"/>
      <c r="AF513" s="543"/>
      <c r="AV513"/>
      <c r="AW513"/>
      <c r="AX513"/>
      <c r="AY513"/>
    </row>
    <row r="514" spans="5:57" s="132" customFormat="1">
      <c r="E514" s="543"/>
      <c r="F514"/>
      <c r="G514"/>
      <c r="I514" s="543"/>
      <c r="O514" s="543"/>
      <c r="P514"/>
      <c r="R514"/>
      <c r="U514"/>
      <c r="V514" s="543"/>
      <c r="AA514"/>
      <c r="AF514" s="543"/>
      <c r="AV514"/>
      <c r="AW514"/>
      <c r="AX514"/>
      <c r="AY514"/>
    </row>
    <row r="515" spans="5:57" s="132" customFormat="1">
      <c r="E515" s="543"/>
      <c r="F515"/>
      <c r="G515"/>
      <c r="I515" s="543"/>
      <c r="O515" s="543"/>
      <c r="P515"/>
      <c r="R515"/>
      <c r="U515"/>
      <c r="V515" s="543"/>
      <c r="AA515"/>
      <c r="AF515" s="543"/>
      <c r="AV515"/>
      <c r="AW515"/>
      <c r="AX515"/>
      <c r="AY515"/>
    </row>
    <row r="516" spans="5:57" s="132" customFormat="1">
      <c r="E516" s="543"/>
      <c r="F516"/>
      <c r="G516"/>
      <c r="I516" s="543"/>
      <c r="O516" s="543"/>
      <c r="P516"/>
      <c r="R516"/>
      <c r="U516"/>
      <c r="V516" s="543"/>
      <c r="AA516"/>
      <c r="AF516" s="543"/>
      <c r="AV516"/>
      <c r="AW516"/>
      <c r="AX516"/>
      <c r="AY516"/>
    </row>
    <row r="517" spans="5:57" s="132" customFormat="1">
      <c r="E517" s="543"/>
      <c r="F517"/>
      <c r="G517"/>
      <c r="I517" s="543"/>
      <c r="O517" s="543"/>
      <c r="P517"/>
      <c r="R517"/>
      <c r="U517"/>
      <c r="V517" s="543"/>
      <c r="AA517"/>
      <c r="AF517" s="543"/>
      <c r="AV517"/>
      <c r="AW517"/>
      <c r="AX517"/>
      <c r="AY517"/>
    </row>
    <row r="518" spans="5:57" s="132" customFormat="1">
      <c r="E518" s="543"/>
      <c r="F518"/>
      <c r="G518"/>
      <c r="I518" s="543"/>
      <c r="O518" s="543"/>
      <c r="P518"/>
      <c r="R518"/>
      <c r="U518"/>
      <c r="V518" s="543"/>
      <c r="AA518"/>
      <c r="AF518" s="543"/>
      <c r="AV518"/>
      <c r="AW518"/>
      <c r="AX518"/>
      <c r="AY518"/>
    </row>
    <row r="519" spans="5:57" s="132" customFormat="1">
      <c r="E519" s="543"/>
      <c r="F519"/>
      <c r="G519"/>
      <c r="I519" s="543"/>
      <c r="O519" s="543"/>
      <c r="P519"/>
      <c r="R519"/>
      <c r="U519"/>
      <c r="V519" s="543"/>
      <c r="AA519"/>
      <c r="AF519" s="543"/>
      <c r="AV519"/>
      <c r="AW519"/>
      <c r="AX519"/>
      <c r="AY519"/>
    </row>
    <row r="520" spans="5:57" s="132" customFormat="1">
      <c r="E520" s="543"/>
      <c r="F520"/>
      <c r="G520"/>
      <c r="I520" s="543"/>
      <c r="O520" s="543"/>
      <c r="P520"/>
      <c r="R520"/>
      <c r="U520"/>
      <c r="V520" s="543"/>
      <c r="AA520"/>
      <c r="AF520" s="543"/>
      <c r="AV520"/>
      <c r="AW520"/>
      <c r="AX520"/>
      <c r="AY520"/>
    </row>
    <row r="521" spans="5:57">
      <c r="AE521" s="132"/>
      <c r="AZ521" s="132"/>
      <c r="BA521" s="132"/>
      <c r="BB521" s="132"/>
      <c r="BC521" s="132"/>
      <c r="BD521" s="132"/>
      <c r="BE521" s="132"/>
    </row>
    <row r="522" spans="5:57">
      <c r="AZ522" s="132"/>
      <c r="BA522" s="132"/>
      <c r="BB522" s="132"/>
      <c r="BC522" s="132"/>
      <c r="BD522" s="132"/>
      <c r="BE522" s="132"/>
    </row>
    <row r="523" spans="5:57">
      <c r="AZ523" s="132"/>
      <c r="BA523" s="132"/>
      <c r="BB523" s="132"/>
      <c r="BC523" s="132"/>
      <c r="BD523" s="132"/>
      <c r="BE523" s="132"/>
    </row>
    <row r="524" spans="5:57">
      <c r="AZ524" s="132"/>
      <c r="BA524" s="132"/>
      <c r="BB524" s="132"/>
      <c r="BC524" s="132"/>
      <c r="BD524" s="132"/>
      <c r="BE524" s="132"/>
    </row>
    <row r="525" spans="5:57">
      <c r="AZ525" s="132"/>
      <c r="BA525" s="132"/>
      <c r="BB525" s="132"/>
      <c r="BC525" s="132"/>
      <c r="BD525" s="132"/>
      <c r="BE525" s="132"/>
    </row>
    <row r="526" spans="5:57">
      <c r="AZ526" s="132"/>
      <c r="BA526" s="132"/>
      <c r="BB526" s="132"/>
      <c r="BC526" s="132"/>
      <c r="BD526" s="132"/>
      <c r="BE526" s="132"/>
    </row>
    <row r="527" spans="5:57">
      <c r="AZ527" s="132"/>
      <c r="BA527" s="132"/>
      <c r="BB527" s="132"/>
      <c r="BC527" s="132"/>
      <c r="BD527" s="132"/>
      <c r="BE527" s="132"/>
    </row>
    <row r="528" spans="5:57">
      <c r="AZ528" s="132"/>
      <c r="BA528" s="132"/>
      <c r="BB528" s="132"/>
      <c r="BC528" s="132"/>
      <c r="BD528" s="132"/>
      <c r="BE528" s="132"/>
    </row>
    <row r="529" spans="52:57">
      <c r="AZ529" s="132"/>
      <c r="BA529" s="132"/>
      <c r="BB529" s="132"/>
      <c r="BC529" s="132"/>
      <c r="BD529" s="132"/>
      <c r="BE529" s="132"/>
    </row>
    <row r="530" spans="52:57">
      <c r="AZ530" s="132"/>
      <c r="BA530" s="132"/>
      <c r="BB530" s="132"/>
      <c r="BC530" s="132"/>
      <c r="BD530" s="132"/>
      <c r="BE530" s="132"/>
    </row>
    <row r="531" spans="52:57">
      <c r="AZ531" s="132"/>
      <c r="BA531" s="132"/>
      <c r="BB531" s="132"/>
      <c r="BC531" s="132"/>
      <c r="BD531" s="132"/>
      <c r="BE531" s="132"/>
    </row>
    <row r="532" spans="52:57">
      <c r="AZ532" s="132"/>
      <c r="BA532" s="132"/>
      <c r="BB532" s="132"/>
      <c r="BC532" s="132"/>
      <c r="BD532" s="132"/>
      <c r="BE532" s="132"/>
    </row>
    <row r="533" spans="52:57">
      <c r="AZ533" s="132"/>
      <c r="BA533" s="132"/>
      <c r="BB533" s="132"/>
      <c r="BC533" s="132"/>
      <c r="BD533" s="132"/>
      <c r="BE533" s="132"/>
    </row>
    <row r="534" spans="52:57">
      <c r="AZ534" s="132"/>
      <c r="BA534" s="132"/>
      <c r="BB534" s="132"/>
      <c r="BC534" s="132"/>
      <c r="BD534" s="132"/>
      <c r="BE534" s="132"/>
    </row>
    <row r="535" spans="52:57">
      <c r="AZ535" s="132"/>
      <c r="BA535" s="132"/>
      <c r="BB535" s="132"/>
      <c r="BC535" s="132"/>
      <c r="BD535" s="132"/>
      <c r="BE535" s="132"/>
    </row>
    <row r="536" spans="52:57">
      <c r="AZ536" s="132"/>
      <c r="BA536" s="132"/>
      <c r="BB536" s="132"/>
      <c r="BC536" s="132"/>
      <c r="BD536" s="132"/>
      <c r="BE536" s="132"/>
    </row>
    <row r="537" spans="52:57">
      <c r="AZ537" s="132"/>
      <c r="BA537" s="132"/>
      <c r="BB537" s="132"/>
      <c r="BC537" s="132"/>
      <c r="BD537" s="132"/>
      <c r="BE537" s="132"/>
    </row>
    <row r="538" spans="52:57">
      <c r="AZ538" s="132"/>
      <c r="BA538" s="132"/>
      <c r="BB538" s="132"/>
      <c r="BC538" s="132"/>
      <c r="BD538" s="132"/>
      <c r="BE538" s="132"/>
    </row>
    <row r="539" spans="52:57">
      <c r="AZ539" s="132"/>
      <c r="BA539" s="132"/>
      <c r="BB539" s="132"/>
      <c r="BC539" s="132"/>
      <c r="BD539" s="132"/>
      <c r="BE539" s="132"/>
    </row>
    <row r="540" spans="52:57">
      <c r="AZ540" s="132"/>
      <c r="BA540" s="132"/>
      <c r="BB540" s="132"/>
      <c r="BC540" s="132"/>
      <c r="BD540" s="132"/>
      <c r="BE540" s="132"/>
    </row>
  </sheetData>
  <sheetProtection algorithmName="SHA-512" hashValue="Pka8pYPa+y3gtEmohRLLBqVrS+YrLnvPkGXSXaowDbRUxEpUWN3gdqIfHmDndGB4q0rtc09KhSStopvdl8KnJA==" saltValue="2IeejEw9tIPHpWv4gvMxrw==" spinCount="100000" sheet="1" objects="1" scenarios="1"/>
  <customSheetViews>
    <customSheetView guid="{7D072CBA-4F2D-4FAE-88D9-B6A678BA20E4}" showPageBreaks="1" printArea="1" view="pageBreakPreview">
      <pane xSplit="2" ySplit="4" topLeftCell="W23" activePane="bottomRight" state="frozen"/>
      <selection pane="bottomRight" activeCell="AQ14" sqref="AQ14"/>
      <pageMargins left="0.11811023622047245" right="0.11811023622047245" top="0.19685039370078741" bottom="0.19685039370078741" header="0.31496062992125984" footer="0.31496062992125984"/>
      <printOptions horizontalCentered="1" verticalCentered="1"/>
      <pageSetup paperSize="9" scale="70" orientation="landscape" r:id="rId1"/>
    </customSheetView>
    <customSheetView guid="{E52CD1FC-BC62-45DA-B0AB-D94F42ADC76D}" showPageBreaks="1" printArea="1" view="pageBreakPreview">
      <pane xSplit="2" ySplit="4" topLeftCell="C23" activePane="bottomRight" state="frozen"/>
      <selection pane="bottomRight" activeCell="C43" sqref="C43"/>
      <pageMargins left="0.11811023622047245" right="0.11811023622047245" top="0.19685039370078741" bottom="0.19685039370078741" header="0.31496062992125984" footer="0.31496062992125984"/>
      <printOptions horizontalCentered="1" verticalCentered="1"/>
      <pageSetup paperSize="9" scale="70" orientation="landscape" r:id="rId2"/>
    </customSheetView>
    <customSheetView guid="{7AD910D7-FBD5-40ED-8BA7-40BE0FBC3F4B}" showPageBreaks="1" printArea="1" view="pageBreakPreview">
      <pane xSplit="2" ySplit="4" topLeftCell="C5" activePane="bottomRight" state="frozen"/>
      <selection pane="bottomRight" activeCell="P38" sqref="P38"/>
      <pageMargins left="0.11811023622047245" right="0.11811023622047245" top="0.19685039370078741" bottom="0.19685039370078741" header="0.31496062992125984" footer="0.31496062992125984"/>
      <printOptions horizontalCentered="1" verticalCentered="1"/>
      <pageSetup paperSize="9" scale="70" orientation="landscape" r:id="rId3"/>
    </customSheetView>
    <customSheetView guid="{76ECB78A-7CDD-46D1-8666-1706A28EB544}" showPageBreaks="1" printArea="1" view="pageBreakPreview">
      <pane xSplit="2" ySplit="4" topLeftCell="C5" activePane="bottomRight" state="frozen"/>
      <selection pane="bottomRight" activeCell="P38" sqref="P38"/>
      <pageMargins left="0.11811023622047245" right="0.11811023622047245" top="0.19685039370078741" bottom="0.19685039370078741" header="0.31496062992125984" footer="0.31496062992125984"/>
      <printOptions horizontalCentered="1" verticalCentered="1"/>
      <pageSetup paperSize="9" scale="70" orientation="landscape" r:id="rId4"/>
    </customSheetView>
    <customSheetView guid="{418E0683-5E85-4E09-83DB-7513FB73C39E}" showPageBreaks="1" printArea="1" view="pageBreakPreview">
      <pane xSplit="2" ySplit="4" topLeftCell="W23" activePane="bottomRight" state="frozen"/>
      <selection pane="bottomRight" activeCell="AQ14" sqref="AQ14"/>
      <pageMargins left="0.11811023622047245" right="0.11811023622047245" top="0.19685039370078741" bottom="0.19685039370078741" header="0.31496062992125984" footer="0.31496062992125984"/>
      <printOptions horizontalCentered="1" verticalCentered="1"/>
      <pageSetup paperSize="9" scale="70" orientation="landscape" r:id="rId5"/>
    </customSheetView>
  </customSheetViews>
  <mergeCells count="14">
    <mergeCell ref="AX1:AX3"/>
    <mergeCell ref="AY1:AY3"/>
    <mergeCell ref="A40:B40"/>
    <mergeCell ref="A41:B41"/>
    <mergeCell ref="A42:B42"/>
    <mergeCell ref="Y1:AS1"/>
    <mergeCell ref="A13:A39"/>
    <mergeCell ref="A1:B3"/>
    <mergeCell ref="AT1:AT3"/>
    <mergeCell ref="AU1:AU3"/>
    <mergeCell ref="A4:A12"/>
    <mergeCell ref="C1:X1"/>
    <mergeCell ref="AX40:AX42"/>
    <mergeCell ref="AY40:AY42"/>
  </mergeCells>
  <printOptions horizontalCentered="1" verticalCentered="1"/>
  <pageMargins left="0" right="0" top="0.19685039370078741" bottom="0.19685039370078741" header="0.31496062992125984" footer="0.31496062992125984"/>
  <pageSetup paperSize="9" scale="40" orientation="landscape" r:id="rId6"/>
  <colBreaks count="1" manualBreakCount="1">
    <brk id="24" max="41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92D050"/>
  </sheetPr>
  <dimension ref="A1:AI441"/>
  <sheetViews>
    <sheetView view="pageBreakPreview" topLeftCell="D1" zoomScale="95" zoomScaleNormal="85" zoomScaleSheetLayoutView="95" workbookViewId="0">
      <selection activeCell="M31" sqref="M31"/>
    </sheetView>
  </sheetViews>
  <sheetFormatPr defaultColWidth="9.1796875" defaultRowHeight="12.5"/>
  <cols>
    <col min="1" max="1" width="3.26953125" bestFit="1" customWidth="1"/>
    <col min="2" max="2" width="32.81640625" customWidth="1"/>
    <col min="3" max="6" width="8.1796875" customWidth="1"/>
    <col min="7" max="7" width="9.453125" bestFit="1" customWidth="1"/>
    <col min="8" max="9" width="8.1796875" customWidth="1"/>
    <col min="10" max="10" width="9.453125" bestFit="1" customWidth="1"/>
    <col min="11" max="11" width="8.1796875" customWidth="1"/>
    <col min="12" max="12" width="9.453125" bestFit="1" customWidth="1"/>
    <col min="13" max="20" width="8.1796875" customWidth="1"/>
    <col min="21" max="21" width="9.453125" bestFit="1" customWidth="1"/>
    <col min="22" max="23" width="8.1796875" customWidth="1"/>
    <col min="24" max="24" width="13.26953125" bestFit="1" customWidth="1"/>
    <col min="25" max="25" width="14.453125" customWidth="1"/>
    <col min="26" max="26" width="9.81640625" bestFit="1" customWidth="1"/>
    <col min="27" max="35" width="8.1796875" customWidth="1"/>
  </cols>
  <sheetData>
    <row r="1" spans="1:35" ht="14.5" thickBot="1">
      <c r="A1" s="824" t="s">
        <v>179</v>
      </c>
      <c r="B1" s="825"/>
      <c r="C1" s="854" t="s">
        <v>411</v>
      </c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  <c r="P1" s="855"/>
      <c r="Q1" s="855"/>
      <c r="R1" s="855"/>
      <c r="S1" s="855"/>
      <c r="T1" s="855"/>
      <c r="U1" s="855"/>
      <c r="V1" s="855"/>
      <c r="W1" s="855"/>
      <c r="X1" s="855"/>
      <c r="Y1" s="855"/>
      <c r="Z1" s="855"/>
      <c r="AA1" s="855"/>
      <c r="AB1" s="855"/>
      <c r="AC1" s="855"/>
      <c r="AD1" s="855"/>
      <c r="AE1" s="855"/>
      <c r="AF1" s="855"/>
      <c r="AG1" s="855"/>
      <c r="AH1" s="855"/>
      <c r="AI1" s="856"/>
    </row>
    <row r="2" spans="1:35" ht="28.5" customHeight="1" thickBot="1">
      <c r="A2" s="826"/>
      <c r="B2" s="853"/>
      <c r="C2" s="826" t="s">
        <v>180</v>
      </c>
      <c r="D2" s="827"/>
      <c r="E2" s="827"/>
      <c r="F2" s="827"/>
      <c r="G2" s="853"/>
      <c r="H2" s="854" t="s">
        <v>182</v>
      </c>
      <c r="I2" s="855"/>
      <c r="J2" s="855"/>
      <c r="K2" s="855"/>
      <c r="L2" s="855"/>
      <c r="M2" s="855"/>
      <c r="N2" s="855"/>
      <c r="O2" s="855"/>
      <c r="P2" s="855"/>
      <c r="Q2" s="855"/>
      <c r="R2" s="855"/>
      <c r="S2" s="855"/>
      <c r="T2" s="855"/>
      <c r="U2" s="856"/>
      <c r="V2" s="854" t="s">
        <v>181</v>
      </c>
      <c r="W2" s="855"/>
      <c r="X2" s="855"/>
      <c r="Y2" s="855"/>
      <c r="Z2" s="856"/>
      <c r="AA2" s="819" t="s">
        <v>586</v>
      </c>
      <c r="AB2" s="821"/>
      <c r="AC2" s="819" t="s">
        <v>587</v>
      </c>
      <c r="AD2" s="821"/>
      <c r="AE2" s="854" t="s">
        <v>183</v>
      </c>
      <c r="AF2" s="855"/>
      <c r="AG2" s="855"/>
      <c r="AH2" s="855"/>
      <c r="AI2" s="856"/>
    </row>
    <row r="3" spans="1:35" ht="72.75" customHeight="1">
      <c r="A3" s="826"/>
      <c r="B3" s="827"/>
      <c r="C3" s="851" t="s">
        <v>184</v>
      </c>
      <c r="D3" s="852"/>
      <c r="E3" s="843" t="s">
        <v>185</v>
      </c>
      <c r="F3" s="843" t="s">
        <v>186</v>
      </c>
      <c r="G3" s="839" t="s">
        <v>187</v>
      </c>
      <c r="H3" s="859" t="s">
        <v>192</v>
      </c>
      <c r="I3" s="841" t="s">
        <v>193</v>
      </c>
      <c r="J3" s="841" t="s">
        <v>194</v>
      </c>
      <c r="K3" s="841" t="s">
        <v>195</v>
      </c>
      <c r="L3" s="841" t="s">
        <v>196</v>
      </c>
      <c r="M3" s="841" t="s">
        <v>197</v>
      </c>
      <c r="N3" s="841" t="s">
        <v>198</v>
      </c>
      <c r="O3" s="841" t="s">
        <v>199</v>
      </c>
      <c r="P3" s="841" t="s">
        <v>200</v>
      </c>
      <c r="Q3" s="841" t="s">
        <v>201</v>
      </c>
      <c r="R3" s="841" t="s">
        <v>202</v>
      </c>
      <c r="S3" s="841" t="s">
        <v>203</v>
      </c>
      <c r="T3" s="857" t="s">
        <v>204</v>
      </c>
      <c r="U3" s="849" t="s">
        <v>469</v>
      </c>
      <c r="V3" s="837" t="s">
        <v>188</v>
      </c>
      <c r="W3" s="843" t="s">
        <v>189</v>
      </c>
      <c r="X3" s="845" t="s">
        <v>190</v>
      </c>
      <c r="Y3" s="847" t="s">
        <v>191</v>
      </c>
      <c r="Z3" s="849" t="s">
        <v>470</v>
      </c>
      <c r="AA3" s="837" t="s">
        <v>205</v>
      </c>
      <c r="AB3" s="839" t="s">
        <v>206</v>
      </c>
      <c r="AC3" s="837" t="s">
        <v>205</v>
      </c>
      <c r="AD3" s="839" t="s">
        <v>206</v>
      </c>
      <c r="AE3" s="837" t="s">
        <v>207</v>
      </c>
      <c r="AF3" s="843" t="s">
        <v>208</v>
      </c>
      <c r="AG3" s="843" t="s">
        <v>209</v>
      </c>
      <c r="AH3" s="839" t="s">
        <v>210</v>
      </c>
      <c r="AI3" s="849" t="s">
        <v>471</v>
      </c>
    </row>
    <row r="4" spans="1:35" ht="141.75" customHeight="1" thickBot="1">
      <c r="A4" s="828"/>
      <c r="B4" s="827"/>
      <c r="C4" s="251" t="s">
        <v>211</v>
      </c>
      <c r="D4" s="252" t="s">
        <v>212</v>
      </c>
      <c r="E4" s="844"/>
      <c r="F4" s="844"/>
      <c r="G4" s="840"/>
      <c r="H4" s="860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58"/>
      <c r="U4" s="850"/>
      <c r="V4" s="838"/>
      <c r="W4" s="844"/>
      <c r="X4" s="846"/>
      <c r="Y4" s="848"/>
      <c r="Z4" s="850"/>
      <c r="AA4" s="838"/>
      <c r="AB4" s="840"/>
      <c r="AC4" s="838"/>
      <c r="AD4" s="840"/>
      <c r="AE4" s="838"/>
      <c r="AF4" s="844"/>
      <c r="AG4" s="844"/>
      <c r="AH4" s="840"/>
      <c r="AI4" s="850"/>
    </row>
    <row r="5" spans="1:35" ht="14">
      <c r="A5" s="822" t="s">
        <v>213</v>
      </c>
      <c r="B5" s="253" t="s">
        <v>214</v>
      </c>
      <c r="C5" s="254">
        <v>8</v>
      </c>
      <c r="D5" s="255">
        <v>42.23</v>
      </c>
      <c r="E5" s="255">
        <v>30</v>
      </c>
      <c r="F5" s="255">
        <v>128.38</v>
      </c>
      <c r="G5" s="256">
        <v>453.07</v>
      </c>
      <c r="H5" s="257"/>
      <c r="I5" s="255" t="s">
        <v>0</v>
      </c>
      <c r="J5" s="255" t="s">
        <v>0</v>
      </c>
      <c r="K5" s="255" t="s">
        <v>0</v>
      </c>
      <c r="L5" s="255">
        <f>653.68-S5</f>
        <v>628.63</v>
      </c>
      <c r="M5" s="255" t="s">
        <v>0</v>
      </c>
      <c r="N5" s="255" t="s">
        <v>0</v>
      </c>
      <c r="O5" s="255" t="s">
        <v>0</v>
      </c>
      <c r="P5" s="255" t="s">
        <v>0</v>
      </c>
      <c r="Q5" s="255" t="s">
        <v>0</v>
      </c>
      <c r="R5" s="255" t="s">
        <v>0</v>
      </c>
      <c r="S5" s="255">
        <f>9.6+15.45</f>
        <v>25.049999999999997</v>
      </c>
      <c r="T5" s="258" t="s">
        <v>0</v>
      </c>
      <c r="U5" s="259">
        <f>SUM(D5,E5,F5,G5)</f>
        <v>653.67999999999995</v>
      </c>
      <c r="V5" s="257">
        <v>17.05</v>
      </c>
      <c r="W5" s="255">
        <v>0</v>
      </c>
      <c r="X5" s="255">
        <v>234</v>
      </c>
      <c r="Y5" s="256">
        <v>47</v>
      </c>
      <c r="Z5" s="361">
        <f>SUM(V5,W5,X5,Y5)</f>
        <v>298.05</v>
      </c>
      <c r="AA5" s="257">
        <v>199.67</v>
      </c>
      <c r="AB5" s="256">
        <v>199.67</v>
      </c>
      <c r="AC5" s="257">
        <v>155.33000000000001</v>
      </c>
      <c r="AD5" s="256">
        <v>155.33000000000001</v>
      </c>
      <c r="AE5" s="257" t="s">
        <v>0</v>
      </c>
      <c r="AF5" s="255" t="s">
        <v>215</v>
      </c>
      <c r="AG5" s="255" t="s">
        <v>215</v>
      </c>
      <c r="AH5" s="256" t="s">
        <v>0</v>
      </c>
      <c r="AI5" s="350">
        <f>SUM(AA5:AD5)</f>
        <v>710</v>
      </c>
    </row>
    <row r="6" spans="1:35" ht="14">
      <c r="A6" s="823"/>
      <c r="B6" s="261" t="s">
        <v>216</v>
      </c>
      <c r="C6" s="262">
        <v>4</v>
      </c>
      <c r="D6" s="263">
        <v>10.86</v>
      </c>
      <c r="E6" s="264">
        <v>8.44</v>
      </c>
      <c r="F6" s="263">
        <v>17</v>
      </c>
      <c r="G6" s="265">
        <v>294.14999999999998</v>
      </c>
      <c r="H6" s="266" t="s">
        <v>0</v>
      </c>
      <c r="I6" s="263" t="s">
        <v>0</v>
      </c>
      <c r="J6" s="263" t="s">
        <v>0</v>
      </c>
      <c r="K6" s="263" t="s">
        <v>0</v>
      </c>
      <c r="L6" s="263">
        <v>330.45</v>
      </c>
      <c r="M6" s="263" t="s">
        <v>0</v>
      </c>
      <c r="N6" s="263" t="s">
        <v>0</v>
      </c>
      <c r="O6" s="263" t="s">
        <v>0</v>
      </c>
      <c r="P6" s="263" t="s">
        <v>0</v>
      </c>
      <c r="Q6" s="263" t="s">
        <v>0</v>
      </c>
      <c r="R6" s="263" t="s">
        <v>0</v>
      </c>
      <c r="S6" s="263" t="s">
        <v>0</v>
      </c>
      <c r="T6" s="264" t="s">
        <v>0</v>
      </c>
      <c r="U6" s="366">
        <f t="shared" ref="U6:U13" si="0">SUM(D6,E6,F6,G6)</f>
        <v>330.45</v>
      </c>
      <c r="V6" s="266">
        <v>130</v>
      </c>
      <c r="W6" s="263">
        <v>20</v>
      </c>
      <c r="X6" s="263">
        <v>0</v>
      </c>
      <c r="Y6" s="263">
        <v>479</v>
      </c>
      <c r="Z6" s="306">
        <f t="shared" ref="Z6:Z13" si="1">SUM(V6,W6,X6,Y6)</f>
        <v>629</v>
      </c>
      <c r="AA6" s="266">
        <f>1+0.5+0.25+0.25+0.5+1+6.94+36+29+14.4+2.52+2.52</f>
        <v>94.88</v>
      </c>
      <c r="AB6" s="282">
        <v>0</v>
      </c>
      <c r="AC6" s="278">
        <v>0</v>
      </c>
      <c r="AD6" s="265">
        <v>94.88</v>
      </c>
      <c r="AE6" s="266" t="s">
        <v>0</v>
      </c>
      <c r="AF6" s="263" t="s">
        <v>215</v>
      </c>
      <c r="AG6" s="263" t="s">
        <v>215</v>
      </c>
      <c r="AH6" s="265" t="s">
        <v>0</v>
      </c>
      <c r="AI6" s="267">
        <f t="shared" ref="AI6:AI13" si="2">SUM(AA6:AD6)</f>
        <v>189.76</v>
      </c>
    </row>
    <row r="7" spans="1:35" ht="14">
      <c r="A7" s="823"/>
      <c r="B7" s="268" t="s">
        <v>514</v>
      </c>
      <c r="C7" s="269">
        <f>7+4+4+2+4+4+1</f>
        <v>26</v>
      </c>
      <c r="D7" s="270">
        <v>92.87</v>
      </c>
      <c r="E7" s="270">
        <v>40.44</v>
      </c>
      <c r="F7" s="271">
        <v>112.64</v>
      </c>
      <c r="G7" s="272">
        <v>1991.62</v>
      </c>
      <c r="H7" s="273" t="s">
        <v>0</v>
      </c>
      <c r="I7" s="274" t="s">
        <v>0</v>
      </c>
      <c r="J7" s="274">
        <v>1763.89</v>
      </c>
      <c r="K7" s="274" t="s">
        <v>0</v>
      </c>
      <c r="L7" s="274">
        <v>257.70999999999998</v>
      </c>
      <c r="M7" s="274" t="s">
        <v>0</v>
      </c>
      <c r="N7" s="274">
        <f>36.89+4.84+6.14+4.84+6.14+4.84+6.14+4.84+6.14+4.84+6.14+4.84+6.14</f>
        <v>102.77000000000002</v>
      </c>
      <c r="O7" s="274" t="s">
        <v>0</v>
      </c>
      <c r="P7" s="274">
        <v>150</v>
      </c>
      <c r="Q7" s="274">
        <v>8</v>
      </c>
      <c r="R7" s="274">
        <f>12.3+2.18+23.6+37.12</f>
        <v>75.199999999999989</v>
      </c>
      <c r="S7" s="274" t="s">
        <v>0</v>
      </c>
      <c r="T7" s="275" t="s">
        <v>0</v>
      </c>
      <c r="U7" s="366">
        <f t="shared" si="0"/>
        <v>2237.5699999999997</v>
      </c>
      <c r="V7" s="276">
        <v>0</v>
      </c>
      <c r="W7" s="263">
        <v>45</v>
      </c>
      <c r="X7" s="263">
        <v>430</v>
      </c>
      <c r="Y7" s="264">
        <v>292</v>
      </c>
      <c r="Z7" s="306">
        <f t="shared" si="1"/>
        <v>767</v>
      </c>
      <c r="AA7" s="266">
        <f>38+116+72+72+106</f>
        <v>404</v>
      </c>
      <c r="AB7" s="282" t="s">
        <v>0</v>
      </c>
      <c r="AC7" s="278" t="s">
        <v>0</v>
      </c>
      <c r="AD7" s="265">
        <v>404</v>
      </c>
      <c r="AE7" s="266" t="s">
        <v>0</v>
      </c>
      <c r="AF7" s="263" t="s">
        <v>215</v>
      </c>
      <c r="AG7" s="263" t="s">
        <v>215</v>
      </c>
      <c r="AH7" s="277" t="s">
        <v>0</v>
      </c>
      <c r="AI7" s="267">
        <f t="shared" si="2"/>
        <v>808</v>
      </c>
    </row>
    <row r="8" spans="1:35" ht="14">
      <c r="A8" s="823"/>
      <c r="B8" s="268" t="s">
        <v>493</v>
      </c>
      <c r="C8" s="269">
        <v>6</v>
      </c>
      <c r="D8" s="270">
        <v>34.5</v>
      </c>
      <c r="E8" s="270">
        <v>12.8</v>
      </c>
      <c r="F8" s="270">
        <v>33.35</v>
      </c>
      <c r="G8" s="272">
        <v>1389.92</v>
      </c>
      <c r="H8" s="273"/>
      <c r="I8" s="274"/>
      <c r="J8" s="274">
        <v>1296.57</v>
      </c>
      <c r="K8" s="274"/>
      <c r="L8" s="274"/>
      <c r="M8" s="274">
        <v>174</v>
      </c>
      <c r="N8" s="274"/>
      <c r="O8" s="274"/>
      <c r="P8" s="274"/>
      <c r="Q8" s="274"/>
      <c r="R8" s="274"/>
      <c r="S8" s="274"/>
      <c r="T8" s="275"/>
      <c r="U8" s="366">
        <f>SUM(H8:T8)</f>
        <v>1470.57</v>
      </c>
      <c r="V8" s="278" t="s">
        <v>0</v>
      </c>
      <c r="W8" s="274" t="s">
        <v>0</v>
      </c>
      <c r="X8" s="274" t="s">
        <v>0</v>
      </c>
      <c r="Y8" s="279" t="s">
        <v>0</v>
      </c>
      <c r="Z8" s="306">
        <f t="shared" si="1"/>
        <v>0</v>
      </c>
      <c r="AA8" s="273">
        <f>0.6*0.6*2+1.05*0.6+2*1.5+4*1.5+2*1.5+4*1.5*3+2.75*2.6+1.5*2.6+4*4*1.5+2*0.6*0.6+1.05*0.6+3.47*1.85+8.88*1.85+9.16*1.85+15.1*1.85+9.1*1.85</f>
        <v>152.3135</v>
      </c>
      <c r="AB8" s="282">
        <v>152.31</v>
      </c>
      <c r="AC8" s="278" t="s">
        <v>0</v>
      </c>
      <c r="AD8" s="282" t="s">
        <v>0</v>
      </c>
      <c r="AE8" s="273" t="s">
        <v>0</v>
      </c>
      <c r="AF8" s="274" t="s">
        <v>215</v>
      </c>
      <c r="AG8" s="274" t="s">
        <v>215</v>
      </c>
      <c r="AH8" s="280" t="s">
        <v>0</v>
      </c>
      <c r="AI8" s="267">
        <f t="shared" si="2"/>
        <v>304.62350000000004</v>
      </c>
    </row>
    <row r="9" spans="1:35" ht="14">
      <c r="A9" s="823"/>
      <c r="B9" s="281" t="s">
        <v>217</v>
      </c>
      <c r="C9" s="269">
        <v>2</v>
      </c>
      <c r="D9" s="274">
        <v>6.66</v>
      </c>
      <c r="E9" s="274">
        <v>7.7</v>
      </c>
      <c r="F9" s="274">
        <v>21.68</v>
      </c>
      <c r="G9" s="282">
        <v>110.67</v>
      </c>
      <c r="H9" s="273" t="s">
        <v>0</v>
      </c>
      <c r="I9" s="274" t="s">
        <v>0</v>
      </c>
      <c r="J9" s="274" t="s">
        <v>0</v>
      </c>
      <c r="K9" s="274" t="s">
        <v>0</v>
      </c>
      <c r="L9" s="274">
        <v>146.71</v>
      </c>
      <c r="M9" s="274" t="s">
        <v>0</v>
      </c>
      <c r="N9" s="274" t="s">
        <v>0</v>
      </c>
      <c r="O9" s="274" t="s">
        <v>0</v>
      </c>
      <c r="P9" s="274" t="s">
        <v>0</v>
      </c>
      <c r="Q9" s="274" t="s">
        <v>0</v>
      </c>
      <c r="R9" s="274" t="s">
        <v>0</v>
      </c>
      <c r="S9" s="274" t="s">
        <v>0</v>
      </c>
      <c r="T9" s="279" t="s">
        <v>0</v>
      </c>
      <c r="U9" s="366">
        <f t="shared" si="0"/>
        <v>146.71</v>
      </c>
      <c r="V9" s="273" t="s">
        <v>0</v>
      </c>
      <c r="W9" s="274">
        <f>2.11+4.42</f>
        <v>6.5299999999999994</v>
      </c>
      <c r="X9" s="274" t="s">
        <v>0</v>
      </c>
      <c r="Y9" s="282" t="s">
        <v>0</v>
      </c>
      <c r="Z9" s="306">
        <f t="shared" si="1"/>
        <v>6.5299999999999994</v>
      </c>
      <c r="AA9" s="273">
        <f>1.26*2+1.2*0.9+1.3*1*5+4.5*0.6+AB9</f>
        <v>51.65</v>
      </c>
      <c r="AB9" s="282">
        <f>(2.35+2.6)*3+4*2*3</f>
        <v>38.85</v>
      </c>
      <c r="AC9" s="278" t="s">
        <v>0</v>
      </c>
      <c r="AD9" s="282" t="s">
        <v>0</v>
      </c>
      <c r="AE9" s="273" t="s">
        <v>0</v>
      </c>
      <c r="AF9" s="274" t="s">
        <v>215</v>
      </c>
      <c r="AG9" s="274" t="s">
        <v>215</v>
      </c>
      <c r="AH9" s="282" t="s">
        <v>0</v>
      </c>
      <c r="AI9" s="267">
        <f t="shared" si="2"/>
        <v>90.5</v>
      </c>
    </row>
    <row r="10" spans="1:35" ht="14">
      <c r="A10" s="823"/>
      <c r="B10" s="281" t="s">
        <v>218</v>
      </c>
      <c r="C10" s="269">
        <v>11</v>
      </c>
      <c r="D10" s="385">
        <f>2.4*6+2.48*2+5.08+3*2.89</f>
        <v>33.11</v>
      </c>
      <c r="E10" s="385">
        <f>4.62+24.16</f>
        <v>28.78</v>
      </c>
      <c r="F10" s="385">
        <v>90.75</v>
      </c>
      <c r="G10" s="282">
        <f>705.61-F10-E10-D10</f>
        <v>552.97</v>
      </c>
      <c r="H10" s="278" t="s">
        <v>0</v>
      </c>
      <c r="I10" s="385" t="s">
        <v>0</v>
      </c>
      <c r="J10" s="385">
        <v>0</v>
      </c>
      <c r="K10" s="386" t="s">
        <v>0</v>
      </c>
      <c r="L10" s="385">
        <f>705.61-J10</f>
        <v>705.61</v>
      </c>
      <c r="M10" s="385" t="s">
        <v>0</v>
      </c>
      <c r="N10" s="385" t="s">
        <v>0</v>
      </c>
      <c r="O10" s="385" t="s">
        <v>0</v>
      </c>
      <c r="P10" s="385" t="s">
        <v>0</v>
      </c>
      <c r="Q10" s="385" t="s">
        <v>0</v>
      </c>
      <c r="R10" s="385" t="s">
        <v>0</v>
      </c>
      <c r="S10" s="385" t="s">
        <v>0</v>
      </c>
      <c r="T10" s="387" t="s">
        <v>0</v>
      </c>
      <c r="U10" s="366">
        <f t="shared" si="0"/>
        <v>705.61</v>
      </c>
      <c r="V10" s="273">
        <v>11.48</v>
      </c>
      <c r="W10" s="386">
        <f>26.1+5.37+8.97</f>
        <v>40.440000000000005</v>
      </c>
      <c r="X10" s="385">
        <f>6.92+128.92+17.13-11.48</f>
        <v>141.48999999999998</v>
      </c>
      <c r="Y10" s="282">
        <f>62.88+253.83+14.36</f>
        <v>331.07000000000005</v>
      </c>
      <c r="Z10" s="306">
        <f t="shared" si="1"/>
        <v>524.48</v>
      </c>
      <c r="AA10" s="273">
        <v>303.44</v>
      </c>
      <c r="AB10" s="282">
        <v>184.43</v>
      </c>
      <c r="AC10" s="278" t="s">
        <v>0</v>
      </c>
      <c r="AD10" s="282">
        <v>119.01</v>
      </c>
      <c r="AE10" s="273" t="s">
        <v>0</v>
      </c>
      <c r="AF10" s="385" t="s">
        <v>215</v>
      </c>
      <c r="AG10" s="385" t="s">
        <v>215</v>
      </c>
      <c r="AH10" s="282" t="s">
        <v>0</v>
      </c>
      <c r="AI10" s="267">
        <f t="shared" si="2"/>
        <v>606.88</v>
      </c>
    </row>
    <row r="11" spans="1:35" ht="14">
      <c r="A11" s="823"/>
      <c r="B11" s="281" t="s">
        <v>219</v>
      </c>
      <c r="C11" s="269">
        <v>10</v>
      </c>
      <c r="D11" s="274">
        <v>91.18</v>
      </c>
      <c r="E11" s="263">
        <v>68.89</v>
      </c>
      <c r="F11" s="263">
        <v>168.48</v>
      </c>
      <c r="G11" s="265">
        <v>1067.1300000000001</v>
      </c>
      <c r="H11" s="266" t="s">
        <v>0</v>
      </c>
      <c r="I11" s="263" t="s">
        <v>0</v>
      </c>
      <c r="J11" s="263" t="s">
        <v>0</v>
      </c>
      <c r="K11" s="263" t="s">
        <v>0</v>
      </c>
      <c r="L11" s="263">
        <f>1395.68-N11-P11</f>
        <v>1204.8300000000002</v>
      </c>
      <c r="M11" s="263" t="s">
        <v>0</v>
      </c>
      <c r="N11" s="263">
        <v>151.56</v>
      </c>
      <c r="O11" s="263" t="s">
        <v>0</v>
      </c>
      <c r="P11" s="263">
        <v>39.29</v>
      </c>
      <c r="Q11" s="263" t="s">
        <v>0</v>
      </c>
      <c r="R11" s="263" t="s">
        <v>0</v>
      </c>
      <c r="S11" s="263" t="s">
        <v>0</v>
      </c>
      <c r="T11" s="264" t="s">
        <v>0</v>
      </c>
      <c r="U11" s="366">
        <f t="shared" si="0"/>
        <v>1395.68</v>
      </c>
      <c r="V11" s="266">
        <v>0</v>
      </c>
      <c r="W11" s="263">
        <v>0</v>
      </c>
      <c r="X11" s="263">
        <v>1200</v>
      </c>
      <c r="Y11" s="265">
        <v>654</v>
      </c>
      <c r="Z11" s="306">
        <f t="shared" si="1"/>
        <v>1854</v>
      </c>
      <c r="AA11" s="273">
        <f>(1*2.55)+(2.97*0.8)+(0.8*2.83)+(2.08*2.55)+(0.8*2.55)+(0.87*2.55)+(2.33*2.55)+(1.95*0.8)+(1.95*0.8)+(1.25*2.55)+(23.25*2.7)+(23.25*2.7)+(5.98*2.7)+(5.85*2.7)+(5.9*3.2)+(7.25*3.95)+(4.8*2.7)+(5.7*2.7)+(7.03*2.7)+(8.75*2.7)+(11.91*0.95)+(2.5*2.7)+(0.2*3.2)+(7.03*0.85)+(8.62*0.85)+(1.75*0.4)</f>
        <v>337.673</v>
      </c>
      <c r="AB11" s="282">
        <f>(1*2.55)+(2.97*0.8)+(0.8*2.83)+(2.08*2.55)+(0.8*2.55)+(0.87*2.55)+(2.33*2.55)+(1.95*0.8)+(1.95*0.8)+(1.25*2.55)+(23.25*2.7)+(23.25*2.7)+(5.98*2.7)+(5.85*2.7)+(5.9*3.2)+(7.25*3.95)+(4.8*2.7)+(5.7*2.7)+(7.03*2.7)+(8.75*2.7)+(11.91*0.95)+(2.5*2.7)+(0.2*3.2)+(7.03*0.85)+(8.62*0.85)+(1.75*0.4)</f>
        <v>337.673</v>
      </c>
      <c r="AC11" s="278" t="s">
        <v>0</v>
      </c>
      <c r="AD11" s="282">
        <v>300</v>
      </c>
      <c r="AE11" s="273" t="s">
        <v>0</v>
      </c>
      <c r="AF11" s="274" t="s">
        <v>215</v>
      </c>
      <c r="AG11" s="274" t="s">
        <v>215</v>
      </c>
      <c r="AH11" s="265" t="s">
        <v>0</v>
      </c>
      <c r="AI11" s="267">
        <f t="shared" si="2"/>
        <v>975.346</v>
      </c>
    </row>
    <row r="12" spans="1:35" ht="14">
      <c r="A12" s="823"/>
      <c r="B12" s="281" t="s">
        <v>220</v>
      </c>
      <c r="C12" s="269">
        <v>2</v>
      </c>
      <c r="D12" s="274">
        <v>10</v>
      </c>
      <c r="E12" s="274">
        <v>5</v>
      </c>
      <c r="F12" s="274">
        <f>82.91+9.11+5.89</f>
        <v>97.91</v>
      </c>
      <c r="G12" s="282">
        <f>207+105.41-F12-E12-D12</f>
        <v>199.49999999999997</v>
      </c>
      <c r="H12" s="273" t="s">
        <v>0</v>
      </c>
      <c r="I12" s="274" t="s">
        <v>0</v>
      </c>
      <c r="J12" s="263" t="s">
        <v>0</v>
      </c>
      <c r="K12" s="263" t="s">
        <v>0</v>
      </c>
      <c r="L12" s="274">
        <v>312.41000000000003</v>
      </c>
      <c r="M12" s="274" t="s">
        <v>0</v>
      </c>
      <c r="N12" s="274" t="s">
        <v>0</v>
      </c>
      <c r="O12" s="274" t="s">
        <v>0</v>
      </c>
      <c r="P12" s="274" t="s">
        <v>0</v>
      </c>
      <c r="Q12" s="274" t="s">
        <v>0</v>
      </c>
      <c r="R12" s="274" t="s">
        <v>0</v>
      </c>
      <c r="S12" s="274" t="s">
        <v>0</v>
      </c>
      <c r="T12" s="279" t="s">
        <v>0</v>
      </c>
      <c r="U12" s="366">
        <f t="shared" si="0"/>
        <v>312.40999999999997</v>
      </c>
      <c r="V12" s="273">
        <v>46</v>
      </c>
      <c r="W12" s="274">
        <v>7</v>
      </c>
      <c r="X12" s="274">
        <v>67</v>
      </c>
      <c r="Y12" s="282">
        <v>387</v>
      </c>
      <c r="Z12" s="306">
        <f t="shared" si="1"/>
        <v>507</v>
      </c>
      <c r="AA12" s="273">
        <v>52</v>
      </c>
      <c r="AB12" s="282">
        <v>52</v>
      </c>
      <c r="AC12" s="278" t="s">
        <v>0</v>
      </c>
      <c r="AD12" s="282" t="s">
        <v>0</v>
      </c>
      <c r="AE12" s="273" t="s">
        <v>0</v>
      </c>
      <c r="AF12" s="274" t="s">
        <v>215</v>
      </c>
      <c r="AG12" s="274" t="s">
        <v>215</v>
      </c>
      <c r="AH12" s="282" t="s">
        <v>215</v>
      </c>
      <c r="AI12" s="267">
        <f t="shared" si="2"/>
        <v>104</v>
      </c>
    </row>
    <row r="13" spans="1:35" ht="14.5" thickBot="1">
      <c r="A13" s="833"/>
      <c r="B13" s="284" t="s">
        <v>221</v>
      </c>
      <c r="C13" s="285">
        <v>4</v>
      </c>
      <c r="D13" s="286">
        <v>18.25</v>
      </c>
      <c r="E13" s="286">
        <v>8.4600000000000009</v>
      </c>
      <c r="F13" s="286">
        <v>102.05</v>
      </c>
      <c r="G13" s="287">
        <v>284.2</v>
      </c>
      <c r="H13" s="288" t="s">
        <v>0</v>
      </c>
      <c r="I13" s="286" t="s">
        <v>0</v>
      </c>
      <c r="J13" s="286">
        <f>9.11+10.03</f>
        <v>19.14</v>
      </c>
      <c r="K13" s="286" t="s">
        <v>0</v>
      </c>
      <c r="L13" s="286">
        <f>412.96-J13-P13</f>
        <v>310.90999999999997</v>
      </c>
      <c r="M13" s="286" t="s">
        <v>0</v>
      </c>
      <c r="N13" s="286" t="s">
        <v>0</v>
      </c>
      <c r="O13" s="286" t="s">
        <v>0</v>
      </c>
      <c r="P13" s="286">
        <f>82.91</f>
        <v>82.91</v>
      </c>
      <c r="Q13" s="286" t="s">
        <v>0</v>
      </c>
      <c r="R13" s="286" t="s">
        <v>0</v>
      </c>
      <c r="S13" s="286" t="s">
        <v>0</v>
      </c>
      <c r="T13" s="289" t="s">
        <v>0</v>
      </c>
      <c r="U13" s="367">
        <f t="shared" si="0"/>
        <v>412.96</v>
      </c>
      <c r="V13" s="288">
        <v>0</v>
      </c>
      <c r="W13" s="286">
        <v>170</v>
      </c>
      <c r="X13" s="286">
        <v>300</v>
      </c>
      <c r="Y13" s="287">
        <v>1215</v>
      </c>
      <c r="Z13" s="369">
        <f t="shared" si="1"/>
        <v>1685</v>
      </c>
      <c r="AA13" s="288">
        <f>AB13</f>
        <v>144.85</v>
      </c>
      <c r="AB13" s="287">
        <f>131.72+13.13</f>
        <v>144.85</v>
      </c>
      <c r="AC13" s="364" t="s">
        <v>0</v>
      </c>
      <c r="AD13" s="287" t="s">
        <v>0</v>
      </c>
      <c r="AE13" s="288" t="s">
        <v>0</v>
      </c>
      <c r="AF13" s="286" t="s">
        <v>215</v>
      </c>
      <c r="AG13" s="286" t="s">
        <v>215</v>
      </c>
      <c r="AH13" s="287" t="s">
        <v>215</v>
      </c>
      <c r="AI13" s="351">
        <f t="shared" si="2"/>
        <v>289.7</v>
      </c>
    </row>
    <row r="14" spans="1:35" ht="14">
      <c r="A14" s="822" t="s">
        <v>222</v>
      </c>
      <c r="B14" s="253" t="s">
        <v>223</v>
      </c>
      <c r="C14" s="254">
        <v>2</v>
      </c>
      <c r="D14" s="255">
        <v>5.54</v>
      </c>
      <c r="E14" s="255">
        <v>7.62</v>
      </c>
      <c r="F14" s="255" t="s">
        <v>0</v>
      </c>
      <c r="G14" s="256">
        <v>56.36</v>
      </c>
      <c r="H14" s="257" t="s">
        <v>0</v>
      </c>
      <c r="I14" s="255" t="s">
        <v>0</v>
      </c>
      <c r="J14" s="255" t="s">
        <v>0</v>
      </c>
      <c r="K14" s="255" t="s">
        <v>0</v>
      </c>
      <c r="L14" s="255">
        <v>69.52</v>
      </c>
      <c r="M14" s="255" t="s">
        <v>0</v>
      </c>
      <c r="N14" s="255" t="s">
        <v>0</v>
      </c>
      <c r="O14" s="255" t="s">
        <v>0</v>
      </c>
      <c r="P14" s="255" t="s">
        <v>0</v>
      </c>
      <c r="Q14" s="255" t="s">
        <v>0</v>
      </c>
      <c r="R14" s="255" t="s">
        <v>0</v>
      </c>
      <c r="S14" s="255" t="s">
        <v>0</v>
      </c>
      <c r="T14" s="258" t="s">
        <v>0</v>
      </c>
      <c r="U14" s="259">
        <f>SUM(D14,E14,F14,G14)</f>
        <v>69.52</v>
      </c>
      <c r="V14" s="257" t="s">
        <v>0</v>
      </c>
      <c r="W14" s="255" t="s">
        <v>0</v>
      </c>
      <c r="X14" s="255" t="s">
        <v>0</v>
      </c>
      <c r="Y14" s="256" t="s">
        <v>0</v>
      </c>
      <c r="Z14" s="259">
        <f>SUM(V14,W14,X14,Y14)</f>
        <v>0</v>
      </c>
      <c r="AA14" s="257">
        <v>58</v>
      </c>
      <c r="AB14" s="256">
        <v>45</v>
      </c>
      <c r="AC14" s="304" t="s">
        <v>0</v>
      </c>
      <c r="AD14" s="256" t="s">
        <v>0</v>
      </c>
      <c r="AE14" s="257" t="s">
        <v>0</v>
      </c>
      <c r="AF14" s="255" t="s">
        <v>215</v>
      </c>
      <c r="AG14" s="255" t="s">
        <v>215</v>
      </c>
      <c r="AH14" s="258" t="s">
        <v>215</v>
      </c>
      <c r="AI14" s="260">
        <f t="shared" ref="AI14:AI40" si="3">SUM(AA14,AB14)</f>
        <v>103</v>
      </c>
    </row>
    <row r="15" spans="1:35" ht="14">
      <c r="A15" s="823"/>
      <c r="B15" s="281" t="s">
        <v>224</v>
      </c>
      <c r="C15" s="269">
        <v>1</v>
      </c>
      <c r="D15" s="274">
        <v>1.62</v>
      </c>
      <c r="E15" s="274">
        <v>4.21</v>
      </c>
      <c r="F15" s="274" t="s">
        <v>0</v>
      </c>
      <c r="G15" s="282">
        <v>40.08</v>
      </c>
      <c r="H15" s="273" t="s">
        <v>0</v>
      </c>
      <c r="I15" s="274" t="s">
        <v>0</v>
      </c>
      <c r="J15" s="274" t="s">
        <v>0</v>
      </c>
      <c r="K15" s="274" t="s">
        <v>0</v>
      </c>
      <c r="L15" s="274">
        <v>45.91</v>
      </c>
      <c r="M15" s="274" t="s">
        <v>0</v>
      </c>
      <c r="N15" s="274" t="s">
        <v>0</v>
      </c>
      <c r="O15" s="274" t="s">
        <v>0</v>
      </c>
      <c r="P15" s="274" t="s">
        <v>0</v>
      </c>
      <c r="Q15" s="274" t="s">
        <v>0</v>
      </c>
      <c r="R15" s="274" t="s">
        <v>0</v>
      </c>
      <c r="S15" s="274" t="s">
        <v>0</v>
      </c>
      <c r="T15" s="279" t="s">
        <v>0</v>
      </c>
      <c r="U15" s="366">
        <f>SUM(D15,E15,F15,G15)</f>
        <v>45.91</v>
      </c>
      <c r="V15" s="273" t="s">
        <v>0</v>
      </c>
      <c r="W15" s="274" t="s">
        <v>0</v>
      </c>
      <c r="X15" s="274" t="s">
        <v>0</v>
      </c>
      <c r="Y15" s="282" t="s">
        <v>0</v>
      </c>
      <c r="Z15" s="292">
        <f t="shared" ref="Z15:Z40" si="4">SUM(V15,W15,X15,Y15)</f>
        <v>0</v>
      </c>
      <c r="AA15" s="273">
        <v>23</v>
      </c>
      <c r="AB15" s="282">
        <v>23</v>
      </c>
      <c r="AC15" s="278" t="s">
        <v>0</v>
      </c>
      <c r="AD15" s="282" t="s">
        <v>0</v>
      </c>
      <c r="AE15" s="273" t="s">
        <v>0</v>
      </c>
      <c r="AF15" s="274" t="s">
        <v>215</v>
      </c>
      <c r="AG15" s="274" t="s">
        <v>215</v>
      </c>
      <c r="AH15" s="279" t="s">
        <v>0</v>
      </c>
      <c r="AI15" s="267">
        <f t="shared" si="3"/>
        <v>46</v>
      </c>
    </row>
    <row r="16" spans="1:35" ht="14">
      <c r="A16" s="823"/>
      <c r="B16" s="281" t="s">
        <v>225</v>
      </c>
      <c r="C16" s="269">
        <v>2</v>
      </c>
      <c r="D16" s="274">
        <v>5.15</v>
      </c>
      <c r="E16" s="274">
        <v>9.2100000000000009</v>
      </c>
      <c r="F16" s="274" t="s">
        <v>0</v>
      </c>
      <c r="G16" s="282">
        <v>93.07</v>
      </c>
      <c r="H16" s="279" t="s">
        <v>0</v>
      </c>
      <c r="I16" s="274" t="s">
        <v>0</v>
      </c>
      <c r="J16" s="274" t="s">
        <v>0</v>
      </c>
      <c r="K16" s="274" t="s">
        <v>0</v>
      </c>
      <c r="L16" s="274">
        <v>107.43</v>
      </c>
      <c r="M16" s="274" t="s">
        <v>0</v>
      </c>
      <c r="N16" s="274" t="s">
        <v>0</v>
      </c>
      <c r="O16" s="274" t="s">
        <v>0</v>
      </c>
      <c r="P16" s="274" t="s">
        <v>0</v>
      </c>
      <c r="Q16" s="274" t="s">
        <v>0</v>
      </c>
      <c r="R16" s="274" t="s">
        <v>0</v>
      </c>
      <c r="S16" s="274" t="s">
        <v>0</v>
      </c>
      <c r="T16" s="279" t="s">
        <v>0</v>
      </c>
      <c r="U16" s="366">
        <f t="shared" ref="U16:U39" si="5">SUM(D16,E16,F16,G16)</f>
        <v>107.42999999999999</v>
      </c>
      <c r="V16" s="273" t="s">
        <v>0</v>
      </c>
      <c r="W16" s="274" t="s">
        <v>0</v>
      </c>
      <c r="X16" s="274" t="s">
        <v>0</v>
      </c>
      <c r="Y16" s="282" t="s">
        <v>0</v>
      </c>
      <c r="Z16" s="292">
        <f t="shared" si="4"/>
        <v>0</v>
      </c>
      <c r="AA16" s="273">
        <v>10.6</v>
      </c>
      <c r="AB16" s="282">
        <v>10.6</v>
      </c>
      <c r="AC16" s="278" t="s">
        <v>0</v>
      </c>
      <c r="AD16" s="282" t="s">
        <v>0</v>
      </c>
      <c r="AE16" s="273" t="s">
        <v>0</v>
      </c>
      <c r="AF16" s="274" t="s">
        <v>215</v>
      </c>
      <c r="AG16" s="274" t="s">
        <v>215</v>
      </c>
      <c r="AH16" s="279" t="s">
        <v>215</v>
      </c>
      <c r="AI16" s="267">
        <f t="shared" si="3"/>
        <v>21.2</v>
      </c>
    </row>
    <row r="17" spans="1:35" ht="14">
      <c r="A17" s="823"/>
      <c r="B17" s="281" t="s">
        <v>226</v>
      </c>
      <c r="C17" s="269">
        <v>2</v>
      </c>
      <c r="D17" s="274">
        <v>6.2</v>
      </c>
      <c r="E17" s="274">
        <v>4.6100000000000003</v>
      </c>
      <c r="F17" s="274" t="s">
        <v>0</v>
      </c>
      <c r="G17" s="282">
        <v>80.34</v>
      </c>
      <c r="H17" s="273" t="s">
        <v>0</v>
      </c>
      <c r="I17" s="274" t="s">
        <v>0</v>
      </c>
      <c r="J17" s="274" t="s">
        <v>0</v>
      </c>
      <c r="K17" s="274" t="s">
        <v>0</v>
      </c>
      <c r="L17" s="274">
        <v>91.15</v>
      </c>
      <c r="M17" s="274" t="s">
        <v>0</v>
      </c>
      <c r="N17" s="274" t="s">
        <v>0</v>
      </c>
      <c r="O17" s="274" t="s">
        <v>0</v>
      </c>
      <c r="P17" s="274" t="s">
        <v>0</v>
      </c>
      <c r="Q17" s="274" t="s">
        <v>0</v>
      </c>
      <c r="R17" s="274" t="s">
        <v>0</v>
      </c>
      <c r="S17" s="274" t="s">
        <v>0</v>
      </c>
      <c r="T17" s="279" t="s">
        <v>0</v>
      </c>
      <c r="U17" s="366">
        <f t="shared" si="5"/>
        <v>91.15</v>
      </c>
      <c r="V17" s="273" t="s">
        <v>0</v>
      </c>
      <c r="W17" s="274" t="s">
        <v>0</v>
      </c>
      <c r="X17" s="274" t="s">
        <v>0</v>
      </c>
      <c r="Y17" s="282" t="s">
        <v>0</v>
      </c>
      <c r="Z17" s="292">
        <f t="shared" si="4"/>
        <v>0</v>
      </c>
      <c r="AA17" s="273">
        <v>43.94</v>
      </c>
      <c r="AB17" s="282">
        <v>23.5</v>
      </c>
      <c r="AC17" s="278" t="s">
        <v>0</v>
      </c>
      <c r="AD17" s="282" t="s">
        <v>0</v>
      </c>
      <c r="AE17" s="273" t="s">
        <v>0</v>
      </c>
      <c r="AF17" s="274" t="s">
        <v>215</v>
      </c>
      <c r="AG17" s="274" t="s">
        <v>215</v>
      </c>
      <c r="AH17" s="279" t="s">
        <v>0</v>
      </c>
      <c r="AI17" s="267">
        <f t="shared" si="3"/>
        <v>67.44</v>
      </c>
    </row>
    <row r="18" spans="1:35" s="133" customFormat="1" ht="14.5">
      <c r="A18" s="823"/>
      <c r="B18" s="281" t="s">
        <v>227</v>
      </c>
      <c r="C18" s="269">
        <v>1</v>
      </c>
      <c r="D18" s="274">
        <v>3.15</v>
      </c>
      <c r="E18" s="274">
        <v>7.19</v>
      </c>
      <c r="F18" s="274" t="s">
        <v>0</v>
      </c>
      <c r="G18" s="282">
        <v>51.66</v>
      </c>
      <c r="H18" s="273" t="s">
        <v>0</v>
      </c>
      <c r="I18" s="274" t="s">
        <v>0</v>
      </c>
      <c r="J18" s="274" t="s">
        <v>0</v>
      </c>
      <c r="K18" s="274" t="s">
        <v>0</v>
      </c>
      <c r="L18" s="274">
        <v>62</v>
      </c>
      <c r="M18" s="274" t="s">
        <v>0</v>
      </c>
      <c r="N18" s="274" t="s">
        <v>0</v>
      </c>
      <c r="O18" s="274" t="s">
        <v>0</v>
      </c>
      <c r="P18" s="274" t="s">
        <v>0</v>
      </c>
      <c r="Q18" s="274" t="s">
        <v>0</v>
      </c>
      <c r="R18" s="274" t="s">
        <v>0</v>
      </c>
      <c r="S18" s="274" t="s">
        <v>0</v>
      </c>
      <c r="T18" s="279" t="s">
        <v>0</v>
      </c>
      <c r="U18" s="366">
        <f t="shared" si="5"/>
        <v>62</v>
      </c>
      <c r="V18" s="273" t="s">
        <v>0</v>
      </c>
      <c r="W18" s="274" t="s">
        <v>0</v>
      </c>
      <c r="X18" s="274" t="s">
        <v>0</v>
      </c>
      <c r="Y18" s="282" t="s">
        <v>0</v>
      </c>
      <c r="Z18" s="292">
        <f t="shared" si="4"/>
        <v>0</v>
      </c>
      <c r="AA18" s="273">
        <v>6</v>
      </c>
      <c r="AB18" s="282">
        <v>6</v>
      </c>
      <c r="AC18" s="278" t="s">
        <v>0</v>
      </c>
      <c r="AD18" s="282" t="s">
        <v>0</v>
      </c>
      <c r="AE18" s="273" t="s">
        <v>0</v>
      </c>
      <c r="AF18" s="274" t="s">
        <v>215</v>
      </c>
      <c r="AG18" s="274" t="s">
        <v>0</v>
      </c>
      <c r="AH18" s="279" t="s">
        <v>0</v>
      </c>
      <c r="AI18" s="267">
        <f t="shared" si="3"/>
        <v>12</v>
      </c>
    </row>
    <row r="19" spans="1:35" ht="14">
      <c r="A19" s="823"/>
      <c r="B19" s="281" t="s">
        <v>228</v>
      </c>
      <c r="C19" s="269">
        <v>1</v>
      </c>
      <c r="D19" s="274">
        <v>3.19</v>
      </c>
      <c r="E19" s="274">
        <v>3.67</v>
      </c>
      <c r="F19" s="274" t="s">
        <v>0</v>
      </c>
      <c r="G19" s="282">
        <v>60.02</v>
      </c>
      <c r="H19" s="273" t="s">
        <v>0</v>
      </c>
      <c r="I19" s="274" t="s">
        <v>0</v>
      </c>
      <c r="J19" s="274" t="s">
        <v>0</v>
      </c>
      <c r="K19" s="274" t="s">
        <v>0</v>
      </c>
      <c r="L19" s="274">
        <v>66.88</v>
      </c>
      <c r="M19" s="274" t="s">
        <v>0</v>
      </c>
      <c r="N19" s="274" t="s">
        <v>0</v>
      </c>
      <c r="O19" s="274" t="s">
        <v>0</v>
      </c>
      <c r="P19" s="274" t="s">
        <v>0</v>
      </c>
      <c r="Q19" s="274" t="s">
        <v>0</v>
      </c>
      <c r="R19" s="274" t="s">
        <v>0</v>
      </c>
      <c r="S19" s="274" t="s">
        <v>0</v>
      </c>
      <c r="T19" s="279" t="s">
        <v>0</v>
      </c>
      <c r="U19" s="366">
        <f t="shared" si="5"/>
        <v>66.88</v>
      </c>
      <c r="V19" s="273" t="s">
        <v>0</v>
      </c>
      <c r="W19" s="274" t="s">
        <v>0</v>
      </c>
      <c r="X19" s="274" t="s">
        <v>0</v>
      </c>
      <c r="Y19" s="282" t="s">
        <v>0</v>
      </c>
      <c r="Z19" s="292">
        <f t="shared" si="4"/>
        <v>0</v>
      </c>
      <c r="AA19" s="273">
        <v>23.49</v>
      </c>
      <c r="AB19" s="282">
        <v>10.75</v>
      </c>
      <c r="AC19" s="278" t="s">
        <v>0</v>
      </c>
      <c r="AD19" s="282" t="s">
        <v>0</v>
      </c>
      <c r="AE19" s="273" t="s">
        <v>0</v>
      </c>
      <c r="AF19" s="274" t="s">
        <v>215</v>
      </c>
      <c r="AG19" s="274" t="s">
        <v>215</v>
      </c>
      <c r="AH19" s="279" t="s">
        <v>0</v>
      </c>
      <c r="AI19" s="267">
        <f t="shared" si="3"/>
        <v>34.239999999999995</v>
      </c>
    </row>
    <row r="20" spans="1:35" s="133" customFormat="1" ht="14.5">
      <c r="A20" s="823"/>
      <c r="B20" s="281" t="s">
        <v>229</v>
      </c>
      <c r="C20" s="269">
        <v>1</v>
      </c>
      <c r="D20" s="274">
        <v>2.85</v>
      </c>
      <c r="E20" s="274">
        <v>6.04</v>
      </c>
      <c r="F20" s="274" t="s">
        <v>0</v>
      </c>
      <c r="G20" s="282">
        <v>88.29</v>
      </c>
      <c r="H20" s="273" t="s">
        <v>0</v>
      </c>
      <c r="I20" s="274" t="s">
        <v>0</v>
      </c>
      <c r="J20" s="274" t="s">
        <v>0</v>
      </c>
      <c r="K20" s="274" t="s">
        <v>0</v>
      </c>
      <c r="L20" s="274">
        <v>97.18</v>
      </c>
      <c r="M20" s="274" t="s">
        <v>0</v>
      </c>
      <c r="N20" s="274" t="s">
        <v>0</v>
      </c>
      <c r="O20" s="274" t="s">
        <v>0</v>
      </c>
      <c r="P20" s="274" t="s">
        <v>0</v>
      </c>
      <c r="Q20" s="274" t="s">
        <v>0</v>
      </c>
      <c r="R20" s="274" t="s">
        <v>0</v>
      </c>
      <c r="S20" s="274" t="s">
        <v>0</v>
      </c>
      <c r="T20" s="279" t="s">
        <v>0</v>
      </c>
      <c r="U20" s="366">
        <f t="shared" si="5"/>
        <v>97.18</v>
      </c>
      <c r="V20" s="273" t="s">
        <v>0</v>
      </c>
      <c r="W20" s="274" t="s">
        <v>0</v>
      </c>
      <c r="X20" s="274" t="s">
        <v>0</v>
      </c>
      <c r="Y20" s="282" t="s">
        <v>0</v>
      </c>
      <c r="Z20" s="292">
        <f t="shared" si="4"/>
        <v>0</v>
      </c>
      <c r="AA20" s="273">
        <v>12.8</v>
      </c>
      <c r="AB20" s="282">
        <v>12.8</v>
      </c>
      <c r="AC20" s="278" t="s">
        <v>0</v>
      </c>
      <c r="AD20" s="282" t="s">
        <v>0</v>
      </c>
      <c r="AE20" s="273" t="s">
        <v>0</v>
      </c>
      <c r="AF20" s="274" t="s">
        <v>215</v>
      </c>
      <c r="AG20" s="274" t="s">
        <v>215</v>
      </c>
      <c r="AH20" s="279" t="s">
        <v>0</v>
      </c>
      <c r="AI20" s="267">
        <f t="shared" si="3"/>
        <v>25.6</v>
      </c>
    </row>
    <row r="21" spans="1:35" ht="14">
      <c r="A21" s="823"/>
      <c r="B21" s="281" t="s">
        <v>230</v>
      </c>
      <c r="C21" s="269">
        <v>2</v>
      </c>
      <c r="D21" s="274">
        <v>6.07</v>
      </c>
      <c r="E21" s="274">
        <v>8.02</v>
      </c>
      <c r="F21" s="274" t="s">
        <v>0</v>
      </c>
      <c r="G21" s="282">
        <v>83.28</v>
      </c>
      <c r="H21" s="273" t="s">
        <v>0</v>
      </c>
      <c r="I21" s="274" t="s">
        <v>0</v>
      </c>
      <c r="J21" s="274" t="s">
        <v>0</v>
      </c>
      <c r="K21" s="274" t="s">
        <v>0</v>
      </c>
      <c r="L21" s="274">
        <v>97.37</v>
      </c>
      <c r="M21" s="274" t="s">
        <v>0</v>
      </c>
      <c r="N21" s="274" t="s">
        <v>0</v>
      </c>
      <c r="O21" s="274" t="s">
        <v>0</v>
      </c>
      <c r="P21" s="274" t="s">
        <v>0</v>
      </c>
      <c r="Q21" s="274" t="s">
        <v>0</v>
      </c>
      <c r="R21" s="274" t="s">
        <v>0</v>
      </c>
      <c r="S21" s="274" t="s">
        <v>0</v>
      </c>
      <c r="T21" s="279" t="s">
        <v>0</v>
      </c>
      <c r="U21" s="366">
        <f t="shared" si="5"/>
        <v>97.37</v>
      </c>
      <c r="V21" s="273" t="s">
        <v>0</v>
      </c>
      <c r="W21" s="274" t="s">
        <v>0</v>
      </c>
      <c r="X21" s="274" t="s">
        <v>0</v>
      </c>
      <c r="Y21" s="282" t="s">
        <v>0</v>
      </c>
      <c r="Z21" s="292">
        <f t="shared" si="4"/>
        <v>0</v>
      </c>
      <c r="AA21" s="273">
        <v>31.58</v>
      </c>
      <c r="AB21" s="282">
        <v>31.58</v>
      </c>
      <c r="AC21" s="278" t="s">
        <v>0</v>
      </c>
      <c r="AD21" s="282" t="s">
        <v>0</v>
      </c>
      <c r="AE21" s="273" t="s">
        <v>215</v>
      </c>
      <c r="AF21" s="274" t="s">
        <v>215</v>
      </c>
      <c r="AG21" s="274" t="s">
        <v>215</v>
      </c>
      <c r="AH21" s="279" t="s">
        <v>215</v>
      </c>
      <c r="AI21" s="267">
        <f t="shared" si="3"/>
        <v>63.16</v>
      </c>
    </row>
    <row r="22" spans="1:35" ht="14">
      <c r="A22" s="823"/>
      <c r="B22" s="281" t="s">
        <v>231</v>
      </c>
      <c r="C22" s="269">
        <v>1</v>
      </c>
      <c r="D22" s="274">
        <v>3.94</v>
      </c>
      <c r="E22" s="274">
        <v>8.9499999999999993</v>
      </c>
      <c r="F22" s="274" t="s">
        <v>0</v>
      </c>
      <c r="G22" s="282">
        <v>61.46</v>
      </c>
      <c r="H22" s="273" t="s">
        <v>0</v>
      </c>
      <c r="I22" s="274" t="s">
        <v>0</v>
      </c>
      <c r="J22" s="274" t="s">
        <v>0</v>
      </c>
      <c r="K22" s="274" t="s">
        <v>0</v>
      </c>
      <c r="L22" s="274">
        <v>74.349999999999994</v>
      </c>
      <c r="M22" s="274" t="s">
        <v>0</v>
      </c>
      <c r="N22" s="274" t="s">
        <v>0</v>
      </c>
      <c r="O22" s="274" t="s">
        <v>0</v>
      </c>
      <c r="P22" s="274" t="s">
        <v>0</v>
      </c>
      <c r="Q22" s="274" t="s">
        <v>0</v>
      </c>
      <c r="R22" s="274" t="s">
        <v>0</v>
      </c>
      <c r="S22" s="274" t="s">
        <v>0</v>
      </c>
      <c r="T22" s="279" t="s">
        <v>0</v>
      </c>
      <c r="U22" s="366">
        <f t="shared" si="5"/>
        <v>74.349999999999994</v>
      </c>
      <c r="V22" s="273" t="s">
        <v>0</v>
      </c>
      <c r="W22" s="274" t="s">
        <v>0</v>
      </c>
      <c r="X22" s="274" t="s">
        <v>0</v>
      </c>
      <c r="Y22" s="282" t="s">
        <v>0</v>
      </c>
      <c r="Z22" s="292">
        <f t="shared" si="4"/>
        <v>0</v>
      </c>
      <c r="AA22" s="273">
        <v>23.8</v>
      </c>
      <c r="AB22" s="282">
        <v>23.8</v>
      </c>
      <c r="AC22" s="278" t="s">
        <v>0</v>
      </c>
      <c r="AD22" s="282" t="s">
        <v>0</v>
      </c>
      <c r="AE22" s="273" t="s">
        <v>0</v>
      </c>
      <c r="AF22" s="274" t="s">
        <v>215</v>
      </c>
      <c r="AG22" s="274" t="s">
        <v>215</v>
      </c>
      <c r="AH22" s="279" t="s">
        <v>0</v>
      </c>
      <c r="AI22" s="267">
        <f t="shared" si="3"/>
        <v>47.6</v>
      </c>
    </row>
    <row r="23" spans="1:35" s="134" customFormat="1" ht="14.5">
      <c r="A23" s="823"/>
      <c r="B23" s="281" t="s">
        <v>232</v>
      </c>
      <c r="C23" s="269">
        <v>2</v>
      </c>
      <c r="D23" s="274">
        <v>7.42</v>
      </c>
      <c r="E23" s="274">
        <v>6</v>
      </c>
      <c r="F23" s="274" t="s">
        <v>0</v>
      </c>
      <c r="G23" s="282">
        <v>90.52</v>
      </c>
      <c r="H23" s="273" t="s">
        <v>0</v>
      </c>
      <c r="I23" s="274" t="s">
        <v>0</v>
      </c>
      <c r="J23" s="274" t="s">
        <v>0</v>
      </c>
      <c r="K23" s="274" t="s">
        <v>0</v>
      </c>
      <c r="L23" s="274">
        <v>103.94</v>
      </c>
      <c r="M23" s="274" t="s">
        <v>0</v>
      </c>
      <c r="N23" s="274" t="s">
        <v>0</v>
      </c>
      <c r="O23" s="274" t="s">
        <v>0</v>
      </c>
      <c r="P23" s="274" t="s">
        <v>0</v>
      </c>
      <c r="Q23" s="274" t="s">
        <v>0</v>
      </c>
      <c r="R23" s="274" t="s">
        <v>0</v>
      </c>
      <c r="S23" s="274" t="s">
        <v>0</v>
      </c>
      <c r="T23" s="279" t="s">
        <v>0</v>
      </c>
      <c r="U23" s="366">
        <f t="shared" si="5"/>
        <v>103.94</v>
      </c>
      <c r="V23" s="273" t="s">
        <v>0</v>
      </c>
      <c r="W23" s="274">
        <v>43.45</v>
      </c>
      <c r="X23" s="274" t="s">
        <v>0</v>
      </c>
      <c r="Y23" s="282" t="s">
        <v>0</v>
      </c>
      <c r="Z23" s="292">
        <f t="shared" si="4"/>
        <v>43.45</v>
      </c>
      <c r="AA23" s="273">
        <v>12</v>
      </c>
      <c r="AB23" s="282">
        <v>20.8</v>
      </c>
      <c r="AC23" s="278" t="s">
        <v>0</v>
      </c>
      <c r="AD23" s="282" t="s">
        <v>0</v>
      </c>
      <c r="AE23" s="273" t="s">
        <v>0</v>
      </c>
      <c r="AF23" s="274" t="s">
        <v>215</v>
      </c>
      <c r="AG23" s="274" t="s">
        <v>215</v>
      </c>
      <c r="AH23" s="279"/>
      <c r="AI23" s="267">
        <f t="shared" si="3"/>
        <v>32.799999999999997</v>
      </c>
    </row>
    <row r="24" spans="1:35" ht="14">
      <c r="A24" s="823"/>
      <c r="B24" s="281" t="s">
        <v>233</v>
      </c>
      <c r="C24" s="269">
        <v>2</v>
      </c>
      <c r="D24" s="274">
        <v>6.02</v>
      </c>
      <c r="E24" s="274">
        <v>6.94</v>
      </c>
      <c r="F24" s="274" t="s">
        <v>0</v>
      </c>
      <c r="G24" s="282">
        <v>84.04</v>
      </c>
      <c r="H24" s="273" t="s">
        <v>0</v>
      </c>
      <c r="I24" s="274" t="s">
        <v>0</v>
      </c>
      <c r="J24" s="274" t="s">
        <v>0</v>
      </c>
      <c r="K24" s="274" t="s">
        <v>0</v>
      </c>
      <c r="L24" s="274">
        <v>97</v>
      </c>
      <c r="M24" s="274" t="s">
        <v>0</v>
      </c>
      <c r="N24" s="274" t="s">
        <v>0</v>
      </c>
      <c r="O24" s="274" t="s">
        <v>0</v>
      </c>
      <c r="P24" s="274" t="s">
        <v>0</v>
      </c>
      <c r="Q24" s="274" t="s">
        <v>0</v>
      </c>
      <c r="R24" s="274" t="s">
        <v>0</v>
      </c>
      <c r="S24" s="274" t="s">
        <v>0</v>
      </c>
      <c r="T24" s="279" t="s">
        <v>0</v>
      </c>
      <c r="U24" s="366">
        <f t="shared" si="5"/>
        <v>97</v>
      </c>
      <c r="V24" s="273" t="s">
        <v>0</v>
      </c>
      <c r="W24" s="274" t="s">
        <v>0</v>
      </c>
      <c r="X24" s="274" t="s">
        <v>0</v>
      </c>
      <c r="Y24" s="282" t="s">
        <v>0</v>
      </c>
      <c r="Z24" s="292">
        <f t="shared" si="4"/>
        <v>0</v>
      </c>
      <c r="AA24" s="273">
        <v>12.18</v>
      </c>
      <c r="AB24" s="282">
        <v>10.62</v>
      </c>
      <c r="AC24" s="278" t="s">
        <v>0</v>
      </c>
      <c r="AD24" s="282" t="s">
        <v>0</v>
      </c>
      <c r="AE24" s="273" t="s">
        <v>0</v>
      </c>
      <c r="AF24" s="274" t="s">
        <v>215</v>
      </c>
      <c r="AG24" s="274" t="s">
        <v>215</v>
      </c>
      <c r="AH24" s="279" t="s">
        <v>0</v>
      </c>
      <c r="AI24" s="267">
        <f t="shared" si="3"/>
        <v>22.799999999999997</v>
      </c>
    </row>
    <row r="25" spans="1:35" ht="14">
      <c r="A25" s="823"/>
      <c r="B25" s="281" t="s">
        <v>234</v>
      </c>
      <c r="C25" s="269">
        <v>1</v>
      </c>
      <c r="D25" s="274">
        <v>3.06</v>
      </c>
      <c r="E25" s="274">
        <v>4.0999999999999996</v>
      </c>
      <c r="F25" s="274" t="s">
        <v>0</v>
      </c>
      <c r="G25" s="282">
        <v>69.69</v>
      </c>
      <c r="H25" s="273" t="s">
        <v>0</v>
      </c>
      <c r="I25" s="274" t="s">
        <v>0</v>
      </c>
      <c r="J25" s="274" t="s">
        <v>0</v>
      </c>
      <c r="K25" s="274" t="s">
        <v>0</v>
      </c>
      <c r="L25" s="274">
        <v>76.849999999999994</v>
      </c>
      <c r="M25" s="274" t="s">
        <v>0</v>
      </c>
      <c r="N25" s="274" t="s">
        <v>0</v>
      </c>
      <c r="O25" s="274" t="s">
        <v>0</v>
      </c>
      <c r="P25" s="274" t="s">
        <v>0</v>
      </c>
      <c r="Q25" s="274" t="s">
        <v>0</v>
      </c>
      <c r="R25" s="274" t="s">
        <v>0</v>
      </c>
      <c r="S25" s="274" t="s">
        <v>0</v>
      </c>
      <c r="T25" s="279" t="s">
        <v>0</v>
      </c>
      <c r="U25" s="366">
        <f t="shared" si="5"/>
        <v>76.849999999999994</v>
      </c>
      <c r="V25" s="273" t="s">
        <v>0</v>
      </c>
      <c r="W25" s="274" t="s">
        <v>0</v>
      </c>
      <c r="X25" s="274" t="s">
        <v>0</v>
      </c>
      <c r="Y25" s="282" t="s">
        <v>0</v>
      </c>
      <c r="Z25" s="292">
        <f t="shared" si="4"/>
        <v>0</v>
      </c>
      <c r="AA25" s="273">
        <v>11.9</v>
      </c>
      <c r="AB25" s="282">
        <v>12.5</v>
      </c>
      <c r="AC25" s="278" t="s">
        <v>0</v>
      </c>
      <c r="AD25" s="282" t="s">
        <v>0</v>
      </c>
      <c r="AE25" s="273" t="s">
        <v>0</v>
      </c>
      <c r="AF25" s="274" t="s">
        <v>215</v>
      </c>
      <c r="AG25" s="274" t="s">
        <v>215</v>
      </c>
      <c r="AH25" s="279" t="s">
        <v>215</v>
      </c>
      <c r="AI25" s="267">
        <f t="shared" si="3"/>
        <v>24.4</v>
      </c>
    </row>
    <row r="26" spans="1:35" ht="14">
      <c r="A26" s="823"/>
      <c r="B26" s="281" t="s">
        <v>235</v>
      </c>
      <c r="C26" s="269">
        <v>1</v>
      </c>
      <c r="D26" s="274">
        <v>6.78</v>
      </c>
      <c r="E26" s="274">
        <v>3.68</v>
      </c>
      <c r="F26" s="274" t="s">
        <v>0</v>
      </c>
      <c r="G26" s="282">
        <v>107.92</v>
      </c>
      <c r="H26" s="273" t="s">
        <v>0</v>
      </c>
      <c r="I26" s="274" t="s">
        <v>0</v>
      </c>
      <c r="J26" s="274" t="s">
        <v>0</v>
      </c>
      <c r="K26" s="274" t="s">
        <v>0</v>
      </c>
      <c r="L26" s="274">
        <v>118.38</v>
      </c>
      <c r="M26" s="274" t="s">
        <v>0</v>
      </c>
      <c r="N26" s="274" t="s">
        <v>0</v>
      </c>
      <c r="O26" s="274" t="s">
        <v>0</v>
      </c>
      <c r="P26" s="274" t="s">
        <v>0</v>
      </c>
      <c r="Q26" s="274" t="s">
        <v>0</v>
      </c>
      <c r="R26" s="274" t="s">
        <v>0</v>
      </c>
      <c r="S26" s="274" t="s">
        <v>0</v>
      </c>
      <c r="T26" s="279" t="s">
        <v>0</v>
      </c>
      <c r="U26" s="366">
        <f t="shared" si="5"/>
        <v>118.38</v>
      </c>
      <c r="V26" s="273">
        <v>20</v>
      </c>
      <c r="W26" s="274">
        <v>32.520000000000003</v>
      </c>
      <c r="X26" s="274" t="s">
        <v>0</v>
      </c>
      <c r="Y26" s="282" t="s">
        <v>0</v>
      </c>
      <c r="Z26" s="292">
        <f t="shared" si="4"/>
        <v>52.52</v>
      </c>
      <c r="AA26" s="273">
        <v>13.92</v>
      </c>
      <c r="AB26" s="282">
        <v>8.52</v>
      </c>
      <c r="AC26" s="278" t="s">
        <v>0</v>
      </c>
      <c r="AD26" s="282" t="s">
        <v>0</v>
      </c>
      <c r="AE26" s="273" t="s">
        <v>0</v>
      </c>
      <c r="AF26" s="274" t="s">
        <v>0</v>
      </c>
      <c r="AG26" s="274" t="s">
        <v>215</v>
      </c>
      <c r="AH26" s="279" t="s">
        <v>215</v>
      </c>
      <c r="AI26" s="267">
        <f t="shared" si="3"/>
        <v>22.439999999999998</v>
      </c>
    </row>
    <row r="27" spans="1:35" ht="14">
      <c r="A27" s="823"/>
      <c r="B27" s="281" t="s">
        <v>236</v>
      </c>
      <c r="C27" s="269">
        <v>1</v>
      </c>
      <c r="D27" s="274">
        <v>3.18</v>
      </c>
      <c r="E27" s="274">
        <v>3.79</v>
      </c>
      <c r="F27" s="274" t="s">
        <v>0</v>
      </c>
      <c r="G27" s="282">
        <v>84.69</v>
      </c>
      <c r="H27" s="273" t="s">
        <v>0</v>
      </c>
      <c r="I27" s="274" t="s">
        <v>0</v>
      </c>
      <c r="J27" s="274" t="s">
        <v>0</v>
      </c>
      <c r="K27" s="274" t="s">
        <v>0</v>
      </c>
      <c r="L27" s="274">
        <v>86.67</v>
      </c>
      <c r="M27" s="274" t="s">
        <v>0</v>
      </c>
      <c r="N27" s="274" t="s">
        <v>0</v>
      </c>
      <c r="O27" s="274" t="s">
        <v>0</v>
      </c>
      <c r="P27" s="274" t="s">
        <v>0</v>
      </c>
      <c r="Q27" s="274" t="s">
        <v>0</v>
      </c>
      <c r="R27" s="274" t="s">
        <v>0</v>
      </c>
      <c r="S27" s="274" t="s">
        <v>0</v>
      </c>
      <c r="T27" s="279" t="s">
        <v>0</v>
      </c>
      <c r="U27" s="366">
        <f t="shared" si="5"/>
        <v>91.66</v>
      </c>
      <c r="V27" s="273" t="s">
        <v>0</v>
      </c>
      <c r="W27" s="274">
        <v>4.99</v>
      </c>
      <c r="X27" s="274" t="s">
        <v>0</v>
      </c>
      <c r="Y27" s="282" t="s">
        <v>0</v>
      </c>
      <c r="Z27" s="292">
        <f t="shared" si="4"/>
        <v>4.99</v>
      </c>
      <c r="AA27" s="273">
        <v>18.25</v>
      </c>
      <c r="AB27" s="282">
        <v>18.25</v>
      </c>
      <c r="AC27" s="278" t="s">
        <v>0</v>
      </c>
      <c r="AD27" s="282" t="s">
        <v>0</v>
      </c>
      <c r="AE27" s="273" t="s">
        <v>0</v>
      </c>
      <c r="AF27" s="274" t="s">
        <v>215</v>
      </c>
      <c r="AG27" s="274" t="s">
        <v>215</v>
      </c>
      <c r="AH27" s="279" t="s">
        <v>0</v>
      </c>
      <c r="AI27" s="267">
        <f t="shared" si="3"/>
        <v>36.5</v>
      </c>
    </row>
    <row r="28" spans="1:35" ht="14">
      <c r="A28" s="823"/>
      <c r="B28" s="281" t="s">
        <v>237</v>
      </c>
      <c r="C28" s="269">
        <v>1</v>
      </c>
      <c r="D28" s="274">
        <v>2.93</v>
      </c>
      <c r="E28" s="274">
        <v>4.47</v>
      </c>
      <c r="F28" s="274" t="s">
        <v>0</v>
      </c>
      <c r="G28" s="282">
        <v>66.599999999999994</v>
      </c>
      <c r="H28" s="273" t="s">
        <v>0</v>
      </c>
      <c r="I28" s="274" t="s">
        <v>0</v>
      </c>
      <c r="J28" s="274" t="s">
        <v>0</v>
      </c>
      <c r="K28" s="274" t="s">
        <v>0</v>
      </c>
      <c r="L28" s="274">
        <v>74</v>
      </c>
      <c r="M28" s="274" t="s">
        <v>0</v>
      </c>
      <c r="N28" s="274" t="s">
        <v>0</v>
      </c>
      <c r="O28" s="274" t="s">
        <v>0</v>
      </c>
      <c r="P28" s="274" t="s">
        <v>0</v>
      </c>
      <c r="Q28" s="274" t="s">
        <v>0</v>
      </c>
      <c r="R28" s="274" t="s">
        <v>0</v>
      </c>
      <c r="S28" s="274" t="s">
        <v>0</v>
      </c>
      <c r="T28" s="279" t="s">
        <v>0</v>
      </c>
      <c r="U28" s="366">
        <f t="shared" si="5"/>
        <v>74</v>
      </c>
      <c r="V28" s="273" t="s">
        <v>0</v>
      </c>
      <c r="W28" s="274" t="s">
        <v>0</v>
      </c>
      <c r="X28" s="274" t="s">
        <v>0</v>
      </c>
      <c r="Y28" s="282" t="s">
        <v>0</v>
      </c>
      <c r="Z28" s="292">
        <f t="shared" si="4"/>
        <v>0</v>
      </c>
      <c r="AA28" s="273">
        <v>14</v>
      </c>
      <c r="AB28" s="282">
        <v>14</v>
      </c>
      <c r="AC28" s="278" t="s">
        <v>0</v>
      </c>
      <c r="AD28" s="282" t="s">
        <v>0</v>
      </c>
      <c r="AE28" s="273" t="s">
        <v>0</v>
      </c>
      <c r="AF28" s="274" t="s">
        <v>215</v>
      </c>
      <c r="AG28" s="274" t="s">
        <v>215</v>
      </c>
      <c r="AH28" s="279" t="s">
        <v>215</v>
      </c>
      <c r="AI28" s="267">
        <f t="shared" si="3"/>
        <v>28</v>
      </c>
    </row>
    <row r="29" spans="1:35" ht="14">
      <c r="A29" s="823"/>
      <c r="B29" s="281" t="s">
        <v>238</v>
      </c>
      <c r="C29" s="269">
        <v>2</v>
      </c>
      <c r="D29" s="274">
        <v>6.24</v>
      </c>
      <c r="E29" s="274">
        <v>7.76</v>
      </c>
      <c r="F29" s="274" t="s">
        <v>0</v>
      </c>
      <c r="G29" s="282">
        <v>48.95</v>
      </c>
      <c r="H29" s="273" t="s">
        <v>0</v>
      </c>
      <c r="I29" s="274" t="s">
        <v>0</v>
      </c>
      <c r="J29" s="274" t="s">
        <v>0</v>
      </c>
      <c r="K29" s="274" t="s">
        <v>0</v>
      </c>
      <c r="L29" s="274">
        <v>62.95</v>
      </c>
      <c r="M29" s="274" t="s">
        <v>0</v>
      </c>
      <c r="N29" s="274" t="s">
        <v>0</v>
      </c>
      <c r="O29" s="274" t="s">
        <v>0</v>
      </c>
      <c r="P29" s="274" t="s">
        <v>0</v>
      </c>
      <c r="Q29" s="274" t="s">
        <v>0</v>
      </c>
      <c r="R29" s="274" t="s">
        <v>0</v>
      </c>
      <c r="S29" s="274" t="s">
        <v>0</v>
      </c>
      <c r="T29" s="279" t="s">
        <v>0</v>
      </c>
      <c r="U29" s="366">
        <f t="shared" si="5"/>
        <v>62.95</v>
      </c>
      <c r="V29" s="273" t="s">
        <v>0</v>
      </c>
      <c r="W29" s="274" t="s">
        <v>0</v>
      </c>
      <c r="X29" s="274" t="s">
        <v>0</v>
      </c>
      <c r="Y29" s="282" t="s">
        <v>0</v>
      </c>
      <c r="Z29" s="292">
        <f t="shared" si="4"/>
        <v>0</v>
      </c>
      <c r="AA29" s="273">
        <v>12.1</v>
      </c>
      <c r="AB29" s="282">
        <v>12.1</v>
      </c>
      <c r="AC29" s="278" t="s">
        <v>0</v>
      </c>
      <c r="AD29" s="282" t="s">
        <v>0</v>
      </c>
      <c r="AE29" s="273" t="s">
        <v>0</v>
      </c>
      <c r="AF29" s="274" t="s">
        <v>215</v>
      </c>
      <c r="AG29" s="274" t="s">
        <v>215</v>
      </c>
      <c r="AH29" s="279" t="s">
        <v>0</v>
      </c>
      <c r="AI29" s="267">
        <f t="shared" si="3"/>
        <v>24.2</v>
      </c>
    </row>
    <row r="30" spans="1:35" s="134" customFormat="1" ht="14.5">
      <c r="A30" s="823"/>
      <c r="B30" s="281" t="s">
        <v>239</v>
      </c>
      <c r="C30" s="269">
        <v>0</v>
      </c>
      <c r="D30" s="274" t="s">
        <v>0</v>
      </c>
      <c r="E30" s="274">
        <v>2.4900000000000002</v>
      </c>
      <c r="F30" s="274" t="s">
        <v>0</v>
      </c>
      <c r="G30" s="282">
        <v>16.850000000000001</v>
      </c>
      <c r="H30" s="273" t="s">
        <v>0</v>
      </c>
      <c r="I30" s="274" t="s">
        <v>0</v>
      </c>
      <c r="J30" s="274" t="s">
        <v>0</v>
      </c>
      <c r="K30" s="274" t="s">
        <v>0</v>
      </c>
      <c r="L30" s="274">
        <v>19.34</v>
      </c>
      <c r="M30" s="274" t="s">
        <v>0</v>
      </c>
      <c r="N30" s="274" t="s">
        <v>0</v>
      </c>
      <c r="O30" s="274" t="s">
        <v>0</v>
      </c>
      <c r="P30" s="274" t="s">
        <v>0</v>
      </c>
      <c r="Q30" s="274" t="s">
        <v>0</v>
      </c>
      <c r="R30" s="274" t="s">
        <v>0</v>
      </c>
      <c r="S30" s="274" t="s">
        <v>0</v>
      </c>
      <c r="T30" s="279" t="s">
        <v>0</v>
      </c>
      <c r="U30" s="366">
        <f t="shared" si="5"/>
        <v>19.340000000000003</v>
      </c>
      <c r="V30" s="273" t="s">
        <v>0</v>
      </c>
      <c r="W30" s="274" t="s">
        <v>0</v>
      </c>
      <c r="X30" s="274" t="s">
        <v>0</v>
      </c>
      <c r="Y30" s="282" t="s">
        <v>0</v>
      </c>
      <c r="Z30" s="292">
        <f t="shared" si="4"/>
        <v>0</v>
      </c>
      <c r="AA30" s="273">
        <v>10.39</v>
      </c>
      <c r="AB30" s="282">
        <v>10.39</v>
      </c>
      <c r="AC30" s="278" t="s">
        <v>0</v>
      </c>
      <c r="AD30" s="282" t="s">
        <v>0</v>
      </c>
      <c r="AE30" s="273" t="s">
        <v>0</v>
      </c>
      <c r="AF30" s="274" t="s">
        <v>0</v>
      </c>
      <c r="AG30" s="274" t="s">
        <v>215</v>
      </c>
      <c r="AH30" s="279" t="s">
        <v>215</v>
      </c>
      <c r="AI30" s="267">
        <f t="shared" si="3"/>
        <v>20.78</v>
      </c>
    </row>
    <row r="31" spans="1:35" ht="14">
      <c r="A31" s="823"/>
      <c r="B31" s="281" t="s">
        <v>240</v>
      </c>
      <c r="C31" s="269">
        <v>2</v>
      </c>
      <c r="D31" s="274">
        <v>13.89</v>
      </c>
      <c r="E31" s="274" t="s">
        <v>0</v>
      </c>
      <c r="F31" s="274" t="s">
        <v>0</v>
      </c>
      <c r="G31" s="282">
        <v>41.13</v>
      </c>
      <c r="H31" s="273" t="s">
        <v>0</v>
      </c>
      <c r="I31" s="274" t="s">
        <v>0</v>
      </c>
      <c r="J31" s="274" t="s">
        <v>0</v>
      </c>
      <c r="K31" s="274" t="s">
        <v>0</v>
      </c>
      <c r="L31" s="274">
        <v>55.02</v>
      </c>
      <c r="M31" s="274" t="s">
        <v>0</v>
      </c>
      <c r="N31" s="274" t="s">
        <v>0</v>
      </c>
      <c r="O31" s="274" t="s">
        <v>0</v>
      </c>
      <c r="P31" s="274" t="s">
        <v>0</v>
      </c>
      <c r="Q31" s="274" t="s">
        <v>0</v>
      </c>
      <c r="R31" s="274" t="s">
        <v>0</v>
      </c>
      <c r="S31" s="274" t="s">
        <v>0</v>
      </c>
      <c r="T31" s="279" t="s">
        <v>0</v>
      </c>
      <c r="U31" s="366">
        <f t="shared" si="5"/>
        <v>55.02</v>
      </c>
      <c r="V31" s="273" t="s">
        <v>0</v>
      </c>
      <c r="W31" s="274" t="s">
        <v>0</v>
      </c>
      <c r="X31" s="274" t="s">
        <v>0</v>
      </c>
      <c r="Y31" s="282" t="s">
        <v>0</v>
      </c>
      <c r="Z31" s="292">
        <f t="shared" si="4"/>
        <v>0</v>
      </c>
      <c r="AA31" s="273">
        <v>10.1</v>
      </c>
      <c r="AB31" s="282">
        <v>10.1</v>
      </c>
      <c r="AC31" s="278" t="s">
        <v>0</v>
      </c>
      <c r="AD31" s="282" t="s">
        <v>0</v>
      </c>
      <c r="AE31" s="273" t="s">
        <v>0</v>
      </c>
      <c r="AF31" s="274" t="s">
        <v>0</v>
      </c>
      <c r="AG31" s="274" t="s">
        <v>215</v>
      </c>
      <c r="AH31" s="279" t="s">
        <v>215</v>
      </c>
      <c r="AI31" s="267">
        <f t="shared" si="3"/>
        <v>20.2</v>
      </c>
    </row>
    <row r="32" spans="1:35" s="201" customFormat="1" ht="14">
      <c r="A32" s="823"/>
      <c r="B32" s="281" t="s">
        <v>441</v>
      </c>
      <c r="C32" s="269">
        <v>2</v>
      </c>
      <c r="D32" s="274">
        <v>6.76</v>
      </c>
      <c r="E32" s="274">
        <v>1.71</v>
      </c>
      <c r="F32" s="274" t="s">
        <v>0</v>
      </c>
      <c r="G32" s="282">
        <v>130.81</v>
      </c>
      <c r="H32" s="273" t="s">
        <v>0</v>
      </c>
      <c r="I32" s="274" t="s">
        <v>0</v>
      </c>
      <c r="J32" s="274" t="s">
        <v>0</v>
      </c>
      <c r="K32" s="274" t="s">
        <v>0</v>
      </c>
      <c r="L32" s="274">
        <v>139.28</v>
      </c>
      <c r="M32" s="274" t="s">
        <v>0</v>
      </c>
      <c r="N32" s="274" t="s">
        <v>0</v>
      </c>
      <c r="O32" s="274" t="s">
        <v>0</v>
      </c>
      <c r="P32" s="274" t="s">
        <v>0</v>
      </c>
      <c r="Q32" s="274" t="s">
        <v>0</v>
      </c>
      <c r="R32" s="274" t="s">
        <v>0</v>
      </c>
      <c r="S32" s="274" t="s">
        <v>0</v>
      </c>
      <c r="T32" s="279" t="s">
        <v>0</v>
      </c>
      <c r="U32" s="366">
        <f t="shared" si="5"/>
        <v>139.28</v>
      </c>
      <c r="V32" s="273" t="s">
        <v>0</v>
      </c>
      <c r="W32" s="274" t="s">
        <v>0</v>
      </c>
      <c r="X32" s="274" t="s">
        <v>0</v>
      </c>
      <c r="Y32" s="282" t="s">
        <v>0</v>
      </c>
      <c r="Z32" s="292">
        <f t="shared" si="4"/>
        <v>0</v>
      </c>
      <c r="AA32" s="273">
        <v>99.33</v>
      </c>
      <c r="AB32" s="282">
        <v>57.21</v>
      </c>
      <c r="AC32" s="278" t="s">
        <v>0</v>
      </c>
      <c r="AD32" s="282" t="s">
        <v>0</v>
      </c>
      <c r="AE32" s="273" t="s">
        <v>0</v>
      </c>
      <c r="AF32" s="274" t="s">
        <v>215</v>
      </c>
      <c r="AG32" s="274" t="s">
        <v>0</v>
      </c>
      <c r="AH32" s="279" t="s">
        <v>0</v>
      </c>
      <c r="AI32" s="267">
        <f t="shared" si="3"/>
        <v>156.54</v>
      </c>
    </row>
    <row r="33" spans="1:35" ht="14">
      <c r="A33" s="823"/>
      <c r="B33" s="281" t="s">
        <v>241</v>
      </c>
      <c r="C33" s="269">
        <v>1</v>
      </c>
      <c r="D33" s="274">
        <v>3.1</v>
      </c>
      <c r="E33" s="274">
        <v>5.76</v>
      </c>
      <c r="F33" s="274" t="s">
        <v>0</v>
      </c>
      <c r="G33" s="282">
        <v>76.47</v>
      </c>
      <c r="H33" s="273" t="s">
        <v>0</v>
      </c>
      <c r="I33" s="274" t="s">
        <v>0</v>
      </c>
      <c r="J33" s="274" t="s">
        <v>0</v>
      </c>
      <c r="K33" s="274" t="s">
        <v>0</v>
      </c>
      <c r="L33" s="274">
        <v>80.53</v>
      </c>
      <c r="M33" s="274" t="s">
        <v>0</v>
      </c>
      <c r="N33" s="274" t="s">
        <v>0</v>
      </c>
      <c r="O33" s="274" t="s">
        <v>0</v>
      </c>
      <c r="P33" s="274" t="s">
        <v>0</v>
      </c>
      <c r="Q33" s="274" t="s">
        <v>0</v>
      </c>
      <c r="R33" s="274" t="s">
        <v>0</v>
      </c>
      <c r="S33" s="274" t="s">
        <v>0</v>
      </c>
      <c r="T33" s="279" t="s">
        <v>0</v>
      </c>
      <c r="U33" s="366">
        <f t="shared" si="5"/>
        <v>85.33</v>
      </c>
      <c r="V33" s="273" t="s">
        <v>0</v>
      </c>
      <c r="W33" s="274">
        <v>4.8</v>
      </c>
      <c r="X33" s="274" t="s">
        <v>0</v>
      </c>
      <c r="Y33" s="282" t="s">
        <v>0</v>
      </c>
      <c r="Z33" s="292">
        <f t="shared" si="4"/>
        <v>4.8</v>
      </c>
      <c r="AA33" s="273">
        <v>19.47</v>
      </c>
      <c r="AB33" s="282">
        <v>18.399999999999999</v>
      </c>
      <c r="AC33" s="278" t="s">
        <v>0</v>
      </c>
      <c r="AD33" s="282" t="s">
        <v>0</v>
      </c>
      <c r="AE33" s="273" t="s">
        <v>0</v>
      </c>
      <c r="AF33" s="274" t="s">
        <v>215</v>
      </c>
      <c r="AG33" s="274" t="s">
        <v>215</v>
      </c>
      <c r="AH33" s="279" t="s">
        <v>0</v>
      </c>
      <c r="AI33" s="267">
        <f t="shared" si="3"/>
        <v>37.869999999999997</v>
      </c>
    </row>
    <row r="34" spans="1:35" s="134" customFormat="1" ht="14.5">
      <c r="A34" s="823"/>
      <c r="B34" s="281" t="s">
        <v>242</v>
      </c>
      <c r="C34" s="269">
        <v>0</v>
      </c>
      <c r="D34" s="274" t="s">
        <v>0</v>
      </c>
      <c r="E34" s="274">
        <v>5.04</v>
      </c>
      <c r="F34" s="274" t="s">
        <v>0</v>
      </c>
      <c r="G34" s="282">
        <v>65.27</v>
      </c>
      <c r="H34" s="283" t="s">
        <v>0</v>
      </c>
      <c r="I34" s="274" t="s">
        <v>0</v>
      </c>
      <c r="J34" s="274" t="s">
        <v>0</v>
      </c>
      <c r="K34" s="274" t="s">
        <v>0</v>
      </c>
      <c r="L34" s="274" t="s">
        <v>0</v>
      </c>
      <c r="M34" s="274" t="s">
        <v>0</v>
      </c>
      <c r="N34" s="274" t="s">
        <v>0</v>
      </c>
      <c r="O34" s="274" t="s">
        <v>0</v>
      </c>
      <c r="P34" s="274" t="s">
        <v>0</v>
      </c>
      <c r="Q34" s="274">
        <v>70.31</v>
      </c>
      <c r="R34" s="274" t="s">
        <v>0</v>
      </c>
      <c r="S34" s="274" t="s">
        <v>0</v>
      </c>
      <c r="T34" s="279" t="s">
        <v>0</v>
      </c>
      <c r="U34" s="366">
        <f t="shared" si="5"/>
        <v>70.31</v>
      </c>
      <c r="V34" s="278" t="s">
        <v>0</v>
      </c>
      <c r="W34" s="274" t="s">
        <v>0</v>
      </c>
      <c r="X34" s="274" t="s">
        <v>0</v>
      </c>
      <c r="Y34" s="282" t="s">
        <v>0</v>
      </c>
      <c r="Z34" s="292">
        <f t="shared" si="4"/>
        <v>0</v>
      </c>
      <c r="AA34" s="273">
        <v>30.56</v>
      </c>
      <c r="AB34" s="282">
        <v>30.56</v>
      </c>
      <c r="AC34" s="278" t="s">
        <v>0</v>
      </c>
      <c r="AD34" s="282" t="s">
        <v>0</v>
      </c>
      <c r="AE34" s="273" t="s">
        <v>0</v>
      </c>
      <c r="AF34" s="274" t="s">
        <v>215</v>
      </c>
      <c r="AG34" s="274" t="s">
        <v>0</v>
      </c>
      <c r="AH34" s="279" t="s">
        <v>0</v>
      </c>
      <c r="AI34" s="267">
        <f t="shared" si="3"/>
        <v>61.12</v>
      </c>
    </row>
    <row r="35" spans="1:35" ht="14">
      <c r="A35" s="823"/>
      <c r="B35" s="281" t="s">
        <v>243</v>
      </c>
      <c r="C35" s="269">
        <v>2</v>
      </c>
      <c r="D35" s="274">
        <f>3.34+2.98</f>
        <v>6.32</v>
      </c>
      <c r="E35" s="274" t="s">
        <v>0</v>
      </c>
      <c r="F35" s="274">
        <v>28</v>
      </c>
      <c r="G35" s="282">
        <v>80.680000000000007</v>
      </c>
      <c r="H35" s="273" t="s">
        <v>0</v>
      </c>
      <c r="I35" s="274" t="s">
        <v>0</v>
      </c>
      <c r="J35" s="274" t="s">
        <v>0</v>
      </c>
      <c r="K35" s="274" t="s">
        <v>0</v>
      </c>
      <c r="L35" s="274">
        <v>6.32</v>
      </c>
      <c r="M35" s="274" t="s">
        <v>0</v>
      </c>
      <c r="N35" s="274" t="s">
        <v>0</v>
      </c>
      <c r="O35" s="274" t="s">
        <v>0</v>
      </c>
      <c r="P35" s="274" t="s">
        <v>0</v>
      </c>
      <c r="Q35" s="274" t="s">
        <v>0</v>
      </c>
      <c r="R35" s="274" t="s">
        <v>0</v>
      </c>
      <c r="S35" s="274">
        <v>108.68</v>
      </c>
      <c r="T35" s="279" t="s">
        <v>0</v>
      </c>
      <c r="U35" s="366">
        <f t="shared" si="5"/>
        <v>115</v>
      </c>
      <c r="V35" s="273" t="s">
        <v>0</v>
      </c>
      <c r="W35" s="274">
        <v>53.15</v>
      </c>
      <c r="X35" s="274" t="s">
        <v>0</v>
      </c>
      <c r="Y35" s="282">
        <v>5</v>
      </c>
      <c r="Z35" s="292">
        <f t="shared" si="4"/>
        <v>58.15</v>
      </c>
      <c r="AA35" s="273">
        <v>9.48</v>
      </c>
      <c r="AB35" s="282">
        <v>9.48</v>
      </c>
      <c r="AC35" s="278" t="s">
        <v>0</v>
      </c>
      <c r="AD35" s="282" t="s">
        <v>0</v>
      </c>
      <c r="AE35" s="273" t="s">
        <v>0</v>
      </c>
      <c r="AF35" s="274" t="s">
        <v>0</v>
      </c>
      <c r="AG35" s="274" t="s">
        <v>215</v>
      </c>
      <c r="AH35" s="279" t="s">
        <v>215</v>
      </c>
      <c r="AI35" s="267">
        <f t="shared" si="3"/>
        <v>18.96</v>
      </c>
    </row>
    <row r="36" spans="1:35" s="133" customFormat="1" ht="14.5">
      <c r="A36" s="823"/>
      <c r="B36" s="281" t="s">
        <v>244</v>
      </c>
      <c r="C36" s="269">
        <v>2</v>
      </c>
      <c r="D36" s="274">
        <v>5.95</v>
      </c>
      <c r="E36" s="274" t="s">
        <v>0</v>
      </c>
      <c r="F36" s="274" t="s">
        <v>0</v>
      </c>
      <c r="G36" s="282">
        <v>92.97</v>
      </c>
      <c r="H36" s="273" t="s">
        <v>0</v>
      </c>
      <c r="I36" s="274" t="s">
        <v>0</v>
      </c>
      <c r="J36" s="274" t="s">
        <v>0</v>
      </c>
      <c r="K36" s="274" t="s">
        <v>0</v>
      </c>
      <c r="L36" s="274">
        <v>9.8000000000000007</v>
      </c>
      <c r="M36" s="274" t="s">
        <v>0</v>
      </c>
      <c r="N36" s="274" t="s">
        <v>0</v>
      </c>
      <c r="O36" s="274" t="s">
        <v>0</v>
      </c>
      <c r="P36" s="274" t="s">
        <v>0</v>
      </c>
      <c r="Q36" s="274">
        <v>85.27</v>
      </c>
      <c r="R36" s="293" t="s">
        <v>0</v>
      </c>
      <c r="S36" s="274" t="s">
        <v>0</v>
      </c>
      <c r="T36" s="279" t="s">
        <v>0</v>
      </c>
      <c r="U36" s="366">
        <f t="shared" si="5"/>
        <v>98.92</v>
      </c>
      <c r="V36" s="273" t="s">
        <v>0</v>
      </c>
      <c r="W36" s="274">
        <v>3.85</v>
      </c>
      <c r="X36" s="274" t="s">
        <v>0</v>
      </c>
      <c r="Y36" s="282" t="s">
        <v>0</v>
      </c>
      <c r="Z36" s="292">
        <f t="shared" si="4"/>
        <v>3.85</v>
      </c>
      <c r="AA36" s="273">
        <f>0.7*0.7*2+1.6*2.1+4.45</f>
        <v>8.7899999999999991</v>
      </c>
      <c r="AB36" s="282">
        <v>8.7899999999999991</v>
      </c>
      <c r="AC36" s="278" t="s">
        <v>0</v>
      </c>
      <c r="AD36" s="282" t="s">
        <v>0</v>
      </c>
      <c r="AE36" s="273" t="s">
        <v>0</v>
      </c>
      <c r="AF36" s="274" t="s">
        <v>215</v>
      </c>
      <c r="AG36" s="274" t="s">
        <v>215</v>
      </c>
      <c r="AH36" s="279" t="s">
        <v>0</v>
      </c>
      <c r="AI36" s="267">
        <f t="shared" si="3"/>
        <v>17.579999999999998</v>
      </c>
    </row>
    <row r="37" spans="1:35" ht="14">
      <c r="A37" s="823"/>
      <c r="B37" s="281" t="s">
        <v>245</v>
      </c>
      <c r="C37" s="269">
        <v>2</v>
      </c>
      <c r="D37" s="274">
        <v>5.5</v>
      </c>
      <c r="E37" s="274">
        <v>6.85</v>
      </c>
      <c r="F37" s="274" t="s">
        <v>0</v>
      </c>
      <c r="G37" s="282">
        <v>68.069999999999993</v>
      </c>
      <c r="H37" s="273" t="s">
        <v>0</v>
      </c>
      <c r="I37" s="274" t="s">
        <v>0</v>
      </c>
      <c r="J37" s="274" t="s">
        <v>0</v>
      </c>
      <c r="K37" s="274" t="s">
        <v>0</v>
      </c>
      <c r="L37" s="274">
        <v>80.42</v>
      </c>
      <c r="M37" s="274" t="s">
        <v>0</v>
      </c>
      <c r="N37" s="274" t="s">
        <v>0</v>
      </c>
      <c r="O37" s="274" t="s">
        <v>0</v>
      </c>
      <c r="P37" s="274" t="s">
        <v>0</v>
      </c>
      <c r="Q37" s="274" t="s">
        <v>0</v>
      </c>
      <c r="R37" s="274" t="s">
        <v>0</v>
      </c>
      <c r="S37" s="274" t="s">
        <v>0</v>
      </c>
      <c r="T37" s="279" t="s">
        <v>0</v>
      </c>
      <c r="U37" s="366">
        <f t="shared" si="5"/>
        <v>80.419999999999987</v>
      </c>
      <c r="V37" s="273" t="s">
        <v>0</v>
      </c>
      <c r="W37" s="274" t="s">
        <v>0</v>
      </c>
      <c r="X37" s="274" t="s">
        <v>0</v>
      </c>
      <c r="Y37" s="282" t="s">
        <v>0</v>
      </c>
      <c r="Z37" s="292">
        <f t="shared" si="4"/>
        <v>0</v>
      </c>
      <c r="AA37" s="273">
        <v>23.32</v>
      </c>
      <c r="AB37" s="282">
        <v>10.72</v>
      </c>
      <c r="AC37" s="278" t="s">
        <v>0</v>
      </c>
      <c r="AD37" s="282" t="s">
        <v>0</v>
      </c>
      <c r="AE37" s="273" t="s">
        <v>0</v>
      </c>
      <c r="AF37" s="274" t="s">
        <v>215</v>
      </c>
      <c r="AG37" s="274" t="s">
        <v>215</v>
      </c>
      <c r="AH37" s="279" t="s">
        <v>0</v>
      </c>
      <c r="AI37" s="267">
        <f t="shared" si="3"/>
        <v>34.04</v>
      </c>
    </row>
    <row r="38" spans="1:35" s="134" customFormat="1" ht="14.5">
      <c r="A38" s="823"/>
      <c r="B38" s="281" t="s">
        <v>246</v>
      </c>
      <c r="C38" s="269">
        <v>0</v>
      </c>
      <c r="D38" s="274" t="s">
        <v>0</v>
      </c>
      <c r="E38" s="274">
        <v>5.93</v>
      </c>
      <c r="F38" s="274" t="s">
        <v>0</v>
      </c>
      <c r="G38" s="282">
        <v>45.27</v>
      </c>
      <c r="H38" s="273" t="s">
        <v>0</v>
      </c>
      <c r="I38" s="274" t="s">
        <v>0</v>
      </c>
      <c r="J38" s="274" t="s">
        <v>0</v>
      </c>
      <c r="K38" s="274" t="s">
        <v>0</v>
      </c>
      <c r="L38" s="274">
        <v>51.2</v>
      </c>
      <c r="M38" s="274" t="s">
        <v>0</v>
      </c>
      <c r="N38" s="274" t="s">
        <v>0</v>
      </c>
      <c r="O38" s="274" t="s">
        <v>0</v>
      </c>
      <c r="P38" s="274" t="s">
        <v>0</v>
      </c>
      <c r="Q38" s="274" t="s">
        <v>0</v>
      </c>
      <c r="R38" s="274" t="s">
        <v>0</v>
      </c>
      <c r="S38" s="274" t="s">
        <v>0</v>
      </c>
      <c r="T38" s="279" t="s">
        <v>0</v>
      </c>
      <c r="U38" s="366">
        <f t="shared" si="5"/>
        <v>51.2</v>
      </c>
      <c r="V38" s="273" t="s">
        <v>0</v>
      </c>
      <c r="W38" s="274" t="s">
        <v>0</v>
      </c>
      <c r="X38" s="274" t="s">
        <v>0</v>
      </c>
      <c r="Y38" s="282" t="s">
        <v>0</v>
      </c>
      <c r="Z38" s="292">
        <f t="shared" si="4"/>
        <v>0</v>
      </c>
      <c r="AA38" s="273">
        <v>12</v>
      </c>
      <c r="AB38" s="282">
        <v>12</v>
      </c>
      <c r="AC38" s="278" t="s">
        <v>0</v>
      </c>
      <c r="AD38" s="282" t="s">
        <v>0</v>
      </c>
      <c r="AE38" s="273" t="s">
        <v>0</v>
      </c>
      <c r="AF38" s="274" t="s">
        <v>215</v>
      </c>
      <c r="AG38" s="274" t="s">
        <v>215</v>
      </c>
      <c r="AH38" s="279" t="s">
        <v>0</v>
      </c>
      <c r="AI38" s="267">
        <f t="shared" si="3"/>
        <v>24</v>
      </c>
    </row>
    <row r="39" spans="1:35" ht="14">
      <c r="A39" s="823"/>
      <c r="B39" s="281" t="s">
        <v>247</v>
      </c>
      <c r="C39" s="269">
        <v>2</v>
      </c>
      <c r="D39" s="274">
        <v>7.03</v>
      </c>
      <c r="E39" s="274">
        <v>4.22</v>
      </c>
      <c r="F39" s="274" t="s">
        <v>0</v>
      </c>
      <c r="G39" s="282">
        <v>110.02</v>
      </c>
      <c r="H39" s="273" t="s">
        <v>0</v>
      </c>
      <c r="I39" s="274" t="s">
        <v>0</v>
      </c>
      <c r="J39" s="274" t="s">
        <v>0</v>
      </c>
      <c r="K39" s="274" t="s">
        <v>0</v>
      </c>
      <c r="L39" s="274">
        <v>121.27</v>
      </c>
      <c r="M39" s="274" t="s">
        <v>0</v>
      </c>
      <c r="N39" s="274" t="s">
        <v>0</v>
      </c>
      <c r="O39" s="274" t="s">
        <v>0</v>
      </c>
      <c r="P39" s="274" t="s">
        <v>0</v>
      </c>
      <c r="Q39" s="274" t="s">
        <v>0</v>
      </c>
      <c r="R39" s="274" t="s">
        <v>0</v>
      </c>
      <c r="S39" s="274" t="s">
        <v>0</v>
      </c>
      <c r="T39" s="279" t="s">
        <v>0</v>
      </c>
      <c r="U39" s="366">
        <f t="shared" si="5"/>
        <v>121.27</v>
      </c>
      <c r="V39" s="273" t="s">
        <v>0</v>
      </c>
      <c r="W39" s="274" t="s">
        <v>0</v>
      </c>
      <c r="X39" s="274" t="s">
        <v>0</v>
      </c>
      <c r="Y39" s="282" t="s">
        <v>0</v>
      </c>
      <c r="Z39" s="292">
        <f t="shared" si="4"/>
        <v>0</v>
      </c>
      <c r="AA39" s="273">
        <v>9.9600000000000009</v>
      </c>
      <c r="AB39" s="282">
        <v>7.44</v>
      </c>
      <c r="AC39" s="278" t="s">
        <v>0</v>
      </c>
      <c r="AD39" s="282" t="s">
        <v>0</v>
      </c>
      <c r="AE39" s="273" t="s">
        <v>0</v>
      </c>
      <c r="AF39" s="274" t="s">
        <v>215</v>
      </c>
      <c r="AG39" s="274" t="s">
        <v>215</v>
      </c>
      <c r="AH39" s="279" t="s">
        <v>0</v>
      </c>
      <c r="AI39" s="267">
        <f t="shared" si="3"/>
        <v>17.400000000000002</v>
      </c>
    </row>
    <row r="40" spans="1:35" ht="14.5" thickBot="1">
      <c r="A40" s="833"/>
      <c r="B40" s="294" t="s">
        <v>248</v>
      </c>
      <c r="C40" s="285">
        <v>2</v>
      </c>
      <c r="D40" s="286">
        <v>3.69</v>
      </c>
      <c r="E40" s="286">
        <v>5.32</v>
      </c>
      <c r="F40" s="286" t="s">
        <v>0</v>
      </c>
      <c r="G40" s="287">
        <v>57.48</v>
      </c>
      <c r="H40" s="288" t="s">
        <v>0</v>
      </c>
      <c r="I40" s="286" t="s">
        <v>0</v>
      </c>
      <c r="J40" s="286" t="s">
        <v>0</v>
      </c>
      <c r="K40" s="286" t="s">
        <v>0</v>
      </c>
      <c r="L40" s="286">
        <v>66.489999999999995</v>
      </c>
      <c r="M40" s="286" t="s">
        <v>0</v>
      </c>
      <c r="N40" s="286" t="s">
        <v>0</v>
      </c>
      <c r="O40" s="286" t="s">
        <v>0</v>
      </c>
      <c r="P40" s="286" t="s">
        <v>0</v>
      </c>
      <c r="Q40" s="286" t="s">
        <v>0</v>
      </c>
      <c r="R40" s="286" t="s">
        <v>0</v>
      </c>
      <c r="S40" s="286" t="s">
        <v>0</v>
      </c>
      <c r="T40" s="289" t="s">
        <v>0</v>
      </c>
      <c r="U40" s="367">
        <f>SUM(D40,E40,G40)</f>
        <v>66.489999999999995</v>
      </c>
      <c r="V40" s="288" t="s">
        <v>0</v>
      </c>
      <c r="W40" s="286" t="s">
        <v>0</v>
      </c>
      <c r="X40" s="286" t="s">
        <v>0</v>
      </c>
      <c r="Y40" s="287" t="s">
        <v>0</v>
      </c>
      <c r="Z40" s="295">
        <f t="shared" si="4"/>
        <v>0</v>
      </c>
      <c r="AA40" s="288">
        <v>13.38</v>
      </c>
      <c r="AB40" s="287">
        <v>13.38</v>
      </c>
      <c r="AC40" s="365" t="s">
        <v>0</v>
      </c>
      <c r="AD40" s="287" t="s">
        <v>0</v>
      </c>
      <c r="AE40" s="288" t="s">
        <v>0</v>
      </c>
      <c r="AF40" s="286" t="s">
        <v>215</v>
      </c>
      <c r="AG40" s="286" t="s">
        <v>215</v>
      </c>
      <c r="AH40" s="289" t="s">
        <v>0</v>
      </c>
      <c r="AI40" s="291">
        <f t="shared" si="3"/>
        <v>26.76</v>
      </c>
    </row>
    <row r="41" spans="1:35" s="132" customFormat="1">
      <c r="A41" s="132" t="s">
        <v>513</v>
      </c>
    </row>
    <row r="42" spans="1:35" s="132" customFormat="1">
      <c r="D42"/>
      <c r="E42"/>
      <c r="F42"/>
      <c r="G42"/>
      <c r="H42"/>
      <c r="I42"/>
    </row>
    <row r="43" spans="1:35" s="132" customFormat="1"/>
    <row r="44" spans="1:35" s="132" customFormat="1"/>
    <row r="45" spans="1:35" s="132" customFormat="1"/>
    <row r="46" spans="1:35" s="132" customFormat="1"/>
    <row r="47" spans="1:35" s="132" customFormat="1"/>
    <row r="48" spans="1:35" s="132" customFormat="1"/>
    <row r="49" s="132" customFormat="1"/>
    <row r="50" s="132" customFormat="1"/>
    <row r="51" s="132" customFormat="1"/>
    <row r="52" s="132" customFormat="1"/>
    <row r="53" s="132" customFormat="1"/>
    <row r="54" s="132" customFormat="1"/>
    <row r="55" s="132" customFormat="1"/>
    <row r="56" s="132" customFormat="1"/>
    <row r="57" s="132" customFormat="1"/>
    <row r="58" s="132" customFormat="1"/>
    <row r="59" s="132" customFormat="1"/>
    <row r="60" s="132" customFormat="1"/>
    <row r="61" s="132" customFormat="1"/>
    <row r="62" s="132" customFormat="1"/>
    <row r="63" s="132" customFormat="1"/>
    <row r="64" s="132" customFormat="1"/>
    <row r="65" s="132" customFormat="1"/>
    <row r="66" s="132" customFormat="1"/>
    <row r="67" s="132" customFormat="1"/>
    <row r="68" s="132" customFormat="1"/>
    <row r="69" s="132" customFormat="1"/>
    <row r="70" s="132" customFormat="1"/>
    <row r="71" s="132" customFormat="1"/>
    <row r="72" s="132" customFormat="1"/>
    <row r="73" s="132" customFormat="1"/>
    <row r="74" s="132" customFormat="1"/>
    <row r="75" s="132" customFormat="1"/>
    <row r="76" s="132" customFormat="1"/>
    <row r="77" s="132" customFormat="1"/>
    <row r="78" s="132" customFormat="1"/>
    <row r="79" s="132" customFormat="1"/>
    <row r="80" s="132" customFormat="1"/>
    <row r="81" s="132" customFormat="1"/>
    <row r="82" s="132" customFormat="1"/>
    <row r="83" s="132" customFormat="1"/>
    <row r="84" s="132" customFormat="1"/>
    <row r="85" s="132" customFormat="1"/>
    <row r="86" s="132" customFormat="1"/>
    <row r="87" s="132" customFormat="1"/>
    <row r="88" s="132" customFormat="1"/>
    <row r="89" s="132" customFormat="1"/>
    <row r="90" s="132" customFormat="1"/>
    <row r="91" s="132" customFormat="1"/>
    <row r="92" s="132" customFormat="1"/>
    <row r="93" s="132" customFormat="1"/>
    <row r="94" s="132" customFormat="1"/>
    <row r="95" s="132" customFormat="1"/>
    <row r="96" s="132" customFormat="1"/>
    <row r="97" s="132" customFormat="1"/>
    <row r="98" s="132" customFormat="1"/>
    <row r="99" s="132" customFormat="1"/>
    <row r="100" s="132" customFormat="1"/>
    <row r="101" s="132" customFormat="1"/>
    <row r="102" s="132" customFormat="1"/>
    <row r="103" s="132" customFormat="1"/>
    <row r="104" s="132" customFormat="1"/>
    <row r="105" s="132" customFormat="1"/>
    <row r="106" s="132" customFormat="1"/>
    <row r="107" s="132" customFormat="1"/>
    <row r="108" s="132" customFormat="1"/>
    <row r="109" s="132" customFormat="1"/>
    <row r="110" s="132" customFormat="1"/>
    <row r="111" s="132" customFormat="1"/>
    <row r="112" s="132" customFormat="1"/>
    <row r="113" s="132" customFormat="1"/>
    <row r="114" s="132" customFormat="1"/>
    <row r="115" s="132" customFormat="1"/>
    <row r="116" s="132" customFormat="1"/>
    <row r="117" s="132" customFormat="1"/>
    <row r="118" s="132" customFormat="1"/>
    <row r="119" s="132" customFormat="1"/>
    <row r="120" s="132" customFormat="1"/>
    <row r="121" s="132" customFormat="1"/>
    <row r="122" s="132" customFormat="1"/>
    <row r="123" s="132" customFormat="1"/>
    <row r="124" s="132" customFormat="1"/>
    <row r="125" s="132" customFormat="1"/>
    <row r="126" s="132" customFormat="1"/>
    <row r="127" s="132" customFormat="1"/>
    <row r="128" s="132" customFormat="1"/>
    <row r="129" s="132" customFormat="1"/>
    <row r="130" s="132" customFormat="1"/>
    <row r="131" s="132" customFormat="1"/>
    <row r="132" s="132" customFormat="1"/>
    <row r="133" s="132" customFormat="1"/>
    <row r="134" s="132" customFormat="1"/>
    <row r="135" s="132" customFormat="1"/>
    <row r="136" s="132" customFormat="1"/>
    <row r="137" s="132" customFormat="1"/>
    <row r="138" s="132" customFormat="1"/>
    <row r="139" s="132" customFormat="1"/>
    <row r="140" s="132" customFormat="1"/>
    <row r="141" s="132" customFormat="1"/>
    <row r="142" s="132" customFormat="1"/>
    <row r="143" s="132" customFormat="1"/>
    <row r="144" s="132" customFormat="1"/>
    <row r="145" s="132" customFormat="1"/>
    <row r="146" s="132" customFormat="1"/>
    <row r="147" s="132" customFormat="1"/>
    <row r="148" s="132" customFormat="1"/>
    <row r="149" s="132" customFormat="1"/>
    <row r="150" s="132" customFormat="1"/>
    <row r="151" s="132" customFormat="1"/>
    <row r="152" s="132" customFormat="1"/>
    <row r="153" s="132" customFormat="1"/>
    <row r="154" s="132" customFormat="1"/>
    <row r="155" s="132" customFormat="1"/>
    <row r="156" s="132" customFormat="1"/>
    <row r="157" s="132" customFormat="1"/>
    <row r="158" s="132" customFormat="1"/>
    <row r="159" s="132" customFormat="1"/>
    <row r="160" s="132" customFormat="1"/>
    <row r="161" s="132" customFormat="1"/>
    <row r="162" s="132" customFormat="1"/>
    <row r="163" s="132" customFormat="1"/>
    <row r="164" s="132" customFormat="1"/>
    <row r="165" s="132" customFormat="1"/>
    <row r="166" s="132" customFormat="1"/>
    <row r="167" s="132" customFormat="1"/>
    <row r="168" s="132" customFormat="1"/>
    <row r="169" s="132" customFormat="1"/>
    <row r="170" s="132" customFormat="1"/>
    <row r="171" s="132" customFormat="1"/>
    <row r="172" s="132" customFormat="1"/>
    <row r="173" s="132" customFormat="1"/>
    <row r="174" s="132" customFormat="1"/>
    <row r="175" s="132" customFormat="1"/>
    <row r="176" s="132" customFormat="1"/>
    <row r="177" s="132" customFormat="1"/>
    <row r="178" s="132" customFormat="1"/>
    <row r="179" s="132" customFormat="1"/>
    <row r="180" s="132" customFormat="1"/>
    <row r="181" s="132" customFormat="1"/>
    <row r="182" s="132" customFormat="1"/>
    <row r="183" s="132" customFormat="1"/>
    <row r="184" s="132" customFormat="1"/>
    <row r="185" s="132" customFormat="1"/>
    <row r="186" s="132" customFormat="1"/>
    <row r="187" s="132" customFormat="1"/>
    <row r="188" s="132" customFormat="1"/>
    <row r="189" s="132" customFormat="1"/>
    <row r="190" s="132" customFormat="1"/>
    <row r="191" s="132" customFormat="1"/>
    <row r="192" s="132" customFormat="1"/>
    <row r="193" s="132" customFormat="1"/>
    <row r="194" s="132" customFormat="1"/>
    <row r="195" s="132" customFormat="1"/>
    <row r="196" s="132" customFormat="1"/>
    <row r="197" s="132" customFormat="1"/>
    <row r="198" s="132" customFormat="1"/>
    <row r="199" s="132" customFormat="1"/>
    <row r="200" s="132" customFormat="1"/>
    <row r="201" s="132" customFormat="1"/>
    <row r="202" s="132" customFormat="1"/>
    <row r="203" s="132" customFormat="1"/>
    <row r="204" s="132" customFormat="1"/>
    <row r="205" s="132" customFormat="1"/>
    <row r="206" s="132" customFormat="1"/>
    <row r="207" s="132" customFormat="1"/>
    <row r="208" s="132" customFormat="1"/>
    <row r="209" s="132" customFormat="1"/>
    <row r="210" s="132" customFormat="1"/>
    <row r="211" s="132" customFormat="1"/>
    <row r="212" s="132" customFormat="1"/>
    <row r="213" s="132" customFormat="1"/>
    <row r="214" s="132" customFormat="1"/>
    <row r="215" s="132" customFormat="1"/>
    <row r="216" s="132" customFormat="1"/>
    <row r="217" s="132" customFormat="1"/>
    <row r="218" s="132" customFormat="1"/>
    <row r="219" s="132" customFormat="1"/>
    <row r="220" s="132" customFormat="1"/>
    <row r="221" s="132" customFormat="1"/>
    <row r="222" s="132" customFormat="1"/>
    <row r="223" s="132" customFormat="1"/>
    <row r="224" s="132" customFormat="1"/>
    <row r="225" s="132" customFormat="1"/>
    <row r="226" s="132" customFormat="1"/>
    <row r="227" s="132" customFormat="1"/>
    <row r="228" s="132" customFormat="1"/>
    <row r="229" s="132" customFormat="1"/>
    <row r="230" s="132" customFormat="1"/>
    <row r="231" s="132" customFormat="1"/>
    <row r="232" s="132" customFormat="1"/>
    <row r="233" s="132" customFormat="1"/>
    <row r="234" s="132" customFormat="1"/>
    <row r="235" s="132" customFormat="1"/>
    <row r="236" s="132" customFormat="1"/>
    <row r="237" s="132" customFormat="1"/>
    <row r="238" s="132" customFormat="1"/>
    <row r="239" s="132" customFormat="1"/>
    <row r="240" s="132" customFormat="1"/>
    <row r="241" s="132" customFormat="1"/>
    <row r="242" s="132" customFormat="1"/>
    <row r="243" s="132" customFormat="1"/>
    <row r="244" s="132" customFormat="1"/>
    <row r="245" s="132" customFormat="1"/>
    <row r="246" s="132" customFormat="1"/>
    <row r="247" s="132" customFormat="1"/>
    <row r="248" s="132" customFormat="1"/>
    <row r="249" s="132" customFormat="1"/>
    <row r="250" s="132" customFormat="1"/>
    <row r="251" s="132" customFormat="1"/>
    <row r="252" s="132" customFormat="1"/>
    <row r="253" s="132" customFormat="1"/>
    <row r="254" s="132" customFormat="1"/>
    <row r="255" s="132" customFormat="1"/>
    <row r="256" s="132" customFormat="1"/>
    <row r="257" s="132" customFormat="1"/>
    <row r="258" s="132" customFormat="1"/>
    <row r="259" s="132" customFormat="1"/>
    <row r="260" s="132" customFormat="1"/>
    <row r="261" s="132" customFormat="1"/>
    <row r="262" s="132" customFormat="1"/>
    <row r="263" s="132" customFormat="1"/>
    <row r="264" s="132" customFormat="1"/>
    <row r="265" s="132" customFormat="1"/>
    <row r="266" s="132" customFormat="1"/>
    <row r="267" s="132" customFormat="1"/>
    <row r="268" s="132" customFormat="1"/>
    <row r="269" s="132" customFormat="1"/>
    <row r="270" s="132" customFormat="1"/>
    <row r="271" s="132" customFormat="1"/>
    <row r="272" s="132" customFormat="1"/>
    <row r="273" s="132" customFormat="1"/>
    <row r="274" s="132" customFormat="1"/>
    <row r="275" s="132" customFormat="1"/>
    <row r="276" s="132" customFormat="1"/>
    <row r="277" s="132" customFormat="1"/>
    <row r="278" s="132" customFormat="1"/>
    <row r="279" s="132" customFormat="1"/>
    <row r="280" s="132" customFormat="1"/>
    <row r="281" s="132" customFormat="1"/>
    <row r="282" s="132" customFormat="1"/>
    <row r="283" s="132" customFormat="1"/>
    <row r="284" s="132" customFormat="1"/>
    <row r="285" s="132" customFormat="1"/>
    <row r="286" s="132" customFormat="1"/>
    <row r="287" s="132" customFormat="1"/>
    <row r="288" s="132" customFormat="1"/>
    <row r="289" s="132" customFormat="1"/>
    <row r="290" s="132" customFormat="1"/>
    <row r="291" s="132" customFormat="1"/>
    <row r="292" s="132" customFormat="1"/>
    <row r="293" s="132" customFormat="1"/>
    <row r="294" s="132" customFormat="1"/>
    <row r="295" s="132" customFormat="1"/>
    <row r="296" s="132" customFormat="1"/>
    <row r="297" s="132" customFormat="1"/>
    <row r="298" s="132" customFormat="1"/>
    <row r="299" s="132" customFormat="1"/>
    <row r="300" s="132" customFormat="1"/>
    <row r="301" s="132" customFormat="1"/>
    <row r="302" s="132" customFormat="1"/>
    <row r="303" s="132" customFormat="1"/>
    <row r="304" s="132" customFormat="1"/>
    <row r="305" s="132" customFormat="1"/>
    <row r="306" s="132" customFormat="1"/>
    <row r="307" s="132" customFormat="1"/>
    <row r="308" s="132" customFormat="1"/>
    <row r="309" s="132" customFormat="1"/>
    <row r="310" s="132" customFormat="1"/>
    <row r="311" s="132" customFormat="1"/>
    <row r="312" s="132" customFormat="1"/>
    <row r="313" s="132" customFormat="1"/>
    <row r="314" s="132" customFormat="1"/>
    <row r="315" s="132" customFormat="1"/>
    <row r="316" s="132" customFormat="1"/>
    <row r="317" s="132" customFormat="1"/>
    <row r="318" s="132" customFormat="1"/>
    <row r="319" s="132" customFormat="1"/>
    <row r="320" s="132" customFormat="1"/>
    <row r="321" s="132" customFormat="1"/>
    <row r="322" s="132" customFormat="1"/>
    <row r="323" s="132" customFormat="1"/>
    <row r="324" s="132" customFormat="1"/>
    <row r="325" s="132" customFormat="1"/>
    <row r="326" s="132" customFormat="1"/>
    <row r="327" s="132" customFormat="1"/>
    <row r="328" s="132" customFormat="1"/>
    <row r="329" s="132" customFormat="1"/>
    <row r="330" s="132" customFormat="1"/>
    <row r="331" s="132" customFormat="1"/>
    <row r="332" s="132" customFormat="1"/>
    <row r="333" s="132" customFormat="1"/>
    <row r="334" s="132" customFormat="1"/>
    <row r="335" s="132" customFormat="1"/>
    <row r="336" s="132" customFormat="1"/>
    <row r="337" s="132" customFormat="1"/>
    <row r="338" s="132" customFormat="1"/>
    <row r="339" s="132" customFormat="1"/>
    <row r="340" s="132" customFormat="1"/>
    <row r="341" s="132" customFormat="1"/>
    <row r="342" s="132" customFormat="1"/>
    <row r="343" s="132" customFormat="1"/>
    <row r="344" s="132" customFormat="1"/>
    <row r="345" s="132" customFormat="1"/>
    <row r="346" s="132" customFormat="1"/>
    <row r="347" s="132" customFormat="1"/>
    <row r="348" s="132" customFormat="1"/>
    <row r="349" s="132" customFormat="1"/>
    <row r="350" s="132" customFormat="1"/>
    <row r="351" s="132" customFormat="1"/>
    <row r="352" s="132" customFormat="1"/>
    <row r="353" s="132" customFormat="1"/>
    <row r="354" s="132" customFormat="1"/>
    <row r="355" s="132" customFormat="1"/>
    <row r="356" s="132" customFormat="1"/>
    <row r="357" s="132" customFormat="1"/>
    <row r="358" s="132" customFormat="1"/>
    <row r="359" s="132" customFormat="1"/>
    <row r="360" s="132" customFormat="1"/>
    <row r="361" s="132" customFormat="1"/>
    <row r="362" s="132" customFormat="1"/>
    <row r="363" s="132" customFormat="1"/>
    <row r="364" s="132" customFormat="1"/>
    <row r="365" s="132" customFormat="1"/>
    <row r="366" s="132" customFormat="1"/>
    <row r="367" s="132" customFormat="1"/>
    <row r="368" s="132" customFormat="1"/>
    <row r="369" s="132" customFormat="1"/>
    <row r="370" s="132" customFormat="1"/>
    <row r="371" s="132" customFormat="1"/>
    <row r="372" s="132" customFormat="1"/>
    <row r="373" s="132" customFormat="1"/>
    <row r="374" s="132" customFormat="1"/>
    <row r="375" s="132" customFormat="1"/>
    <row r="376" s="132" customFormat="1"/>
    <row r="377" s="132" customFormat="1"/>
    <row r="378" s="132" customFormat="1"/>
    <row r="379" s="132" customFormat="1"/>
    <row r="380" s="132" customFormat="1"/>
    <row r="381" s="132" customFormat="1"/>
    <row r="382" s="132" customFormat="1"/>
    <row r="383" s="132" customFormat="1"/>
    <row r="384" s="132" customFormat="1"/>
    <row r="385" s="132" customFormat="1"/>
    <row r="386" s="132" customFormat="1"/>
    <row r="387" s="132" customFormat="1"/>
    <row r="388" s="132" customFormat="1"/>
    <row r="389" s="132" customFormat="1"/>
    <row r="390" s="132" customFormat="1"/>
    <row r="391" s="132" customFormat="1"/>
    <row r="392" s="132" customFormat="1"/>
    <row r="393" s="132" customFormat="1"/>
    <row r="394" s="132" customFormat="1"/>
    <row r="395" s="132" customFormat="1"/>
    <row r="396" s="132" customFormat="1"/>
    <row r="397" s="132" customFormat="1"/>
    <row r="398" s="132" customFormat="1"/>
    <row r="399" s="132" customFormat="1"/>
    <row r="400" s="132" customFormat="1"/>
    <row r="401" s="132" customFormat="1"/>
    <row r="402" s="132" customFormat="1"/>
    <row r="403" s="132" customFormat="1"/>
    <row r="404" s="132" customFormat="1"/>
    <row r="405" s="132" customFormat="1"/>
    <row r="406" s="132" customFormat="1"/>
    <row r="407" s="132" customFormat="1"/>
    <row r="408" s="132" customFormat="1"/>
    <row r="409" s="132" customFormat="1"/>
    <row r="410" s="132" customFormat="1"/>
    <row r="411" s="132" customFormat="1"/>
    <row r="412" s="132" customFormat="1"/>
    <row r="413" s="132" customFormat="1"/>
    <row r="414" s="132" customFormat="1"/>
    <row r="415" s="132" customFormat="1"/>
    <row r="416" s="132" customFormat="1"/>
    <row r="417" s="132" customFormat="1"/>
    <row r="418" s="132" customFormat="1"/>
    <row r="419" s="132" customFormat="1"/>
    <row r="420" s="132" customFormat="1"/>
    <row r="421" s="132" customFormat="1"/>
    <row r="422" s="132" customFormat="1"/>
    <row r="423" s="132" customFormat="1"/>
    <row r="424" s="132" customFormat="1"/>
    <row r="425" s="132" customFormat="1"/>
    <row r="426" s="132" customFormat="1"/>
    <row r="427" s="132" customFormat="1"/>
    <row r="428" s="132" customFormat="1"/>
    <row r="429" s="132" customFormat="1"/>
    <row r="430" s="132" customFormat="1"/>
    <row r="431" s="132" customFormat="1"/>
    <row r="432" s="132" customFormat="1"/>
    <row r="433" s="132" customFormat="1"/>
    <row r="434" s="132" customFormat="1"/>
    <row r="435" s="132" customFormat="1"/>
    <row r="436" s="132" customFormat="1"/>
    <row r="437" s="132" customFormat="1"/>
    <row r="438" s="132" customFormat="1"/>
    <row r="439" s="132" customFormat="1"/>
    <row r="440" s="132" customFormat="1"/>
    <row r="441" s="132" customFormat="1"/>
  </sheetData>
  <sheetProtection algorithmName="SHA-512" hashValue="BFDVO0DySxKKfog8o8h2pF5RQ88s/UPae2S6oTxPvZw1syIAwyNZSDIy63qyVCjrTXWTBqmLgaGyFlTe6Hruxw==" saltValue="CD32l19Ii6FN2vGS6UBwxA==" spinCount="100000" sheet="1" objects="1" scenarios="1"/>
  <mergeCells count="42">
    <mergeCell ref="A5:A13"/>
    <mergeCell ref="A14:A40"/>
    <mergeCell ref="AA3:AA4"/>
    <mergeCell ref="AB3:AB4"/>
    <mergeCell ref="AE3:AE4"/>
    <mergeCell ref="A1:B4"/>
    <mergeCell ref="AE2:AI2"/>
    <mergeCell ref="C1:AI1"/>
    <mergeCell ref="R3:R4"/>
    <mergeCell ref="S3:S4"/>
    <mergeCell ref="T3:T4"/>
    <mergeCell ref="H3:H4"/>
    <mergeCell ref="C2:G2"/>
    <mergeCell ref="H2:U2"/>
    <mergeCell ref="V2:Z2"/>
    <mergeCell ref="Q3:Q4"/>
    <mergeCell ref="AI3:AI4"/>
    <mergeCell ref="AF3:AF4"/>
    <mergeCell ref="AG3:AG4"/>
    <mergeCell ref="AH3:AH4"/>
    <mergeCell ref="C3:D3"/>
    <mergeCell ref="E3:E4"/>
    <mergeCell ref="F3:F4"/>
    <mergeCell ref="G3:G4"/>
    <mergeCell ref="V3:V4"/>
    <mergeCell ref="P3:P4"/>
    <mergeCell ref="U3:U4"/>
    <mergeCell ref="I3:I4"/>
    <mergeCell ref="J3:J4"/>
    <mergeCell ref="K3:K4"/>
    <mergeCell ref="L3:L4"/>
    <mergeCell ref="M3:M4"/>
    <mergeCell ref="AC3:AC4"/>
    <mergeCell ref="AD3:AD4"/>
    <mergeCell ref="AC2:AD2"/>
    <mergeCell ref="N3:N4"/>
    <mergeCell ref="O3:O4"/>
    <mergeCell ref="AA2:AB2"/>
    <mergeCell ref="W3:W4"/>
    <mergeCell ref="X3:X4"/>
    <mergeCell ref="Y3:Y4"/>
    <mergeCell ref="Z3:Z4"/>
  </mergeCells>
  <pageMargins left="0.51181102362204722" right="0.51181102362204722" top="0.78740157480314965" bottom="0.78740157480314965" header="0.31496062992125984" footer="0.31496062992125984"/>
  <pageSetup paperSize="9" scale="42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92D050"/>
  </sheetPr>
  <dimension ref="A1:AM560"/>
  <sheetViews>
    <sheetView view="pageBreakPreview" topLeftCell="A4" zoomScale="96" zoomScaleNormal="85" zoomScaleSheetLayoutView="96" workbookViewId="0">
      <selection activeCell="V22" sqref="V22"/>
    </sheetView>
  </sheetViews>
  <sheetFormatPr defaultColWidth="9.1796875" defaultRowHeight="12.5"/>
  <cols>
    <col min="1" max="1" width="3.26953125" bestFit="1" customWidth="1"/>
    <col min="2" max="2" width="28.453125" bestFit="1" customWidth="1"/>
    <col min="3" max="4" width="8.1796875" customWidth="1"/>
    <col min="5" max="5" width="14.453125" bestFit="1" customWidth="1"/>
    <col min="6" max="6" width="9.453125" bestFit="1" customWidth="1"/>
    <col min="7" max="14" width="8.1796875" customWidth="1"/>
    <col min="15" max="39" width="9.1796875" style="132"/>
  </cols>
  <sheetData>
    <row r="1" spans="1:39" ht="14.5" thickBot="1">
      <c r="A1" s="824" t="s">
        <v>179</v>
      </c>
      <c r="B1" s="825"/>
      <c r="C1" s="854" t="s">
        <v>411</v>
      </c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6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</row>
    <row r="2" spans="1:39" ht="31.5" customHeight="1" thickBot="1">
      <c r="A2" s="826"/>
      <c r="B2" s="853"/>
      <c r="C2" s="861" t="s">
        <v>181</v>
      </c>
      <c r="D2" s="862"/>
      <c r="E2" s="862"/>
      <c r="F2" s="863"/>
      <c r="G2" s="819" t="s">
        <v>586</v>
      </c>
      <c r="H2" s="821"/>
      <c r="I2" s="819" t="s">
        <v>587</v>
      </c>
      <c r="J2" s="821"/>
      <c r="K2" s="854" t="s">
        <v>183</v>
      </c>
      <c r="L2" s="855"/>
      <c r="M2" s="855"/>
      <c r="N2" s="856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pans="1:39" ht="72.75" customHeight="1">
      <c r="A3" s="826"/>
      <c r="B3" s="827"/>
      <c r="C3" s="868" t="s">
        <v>188</v>
      </c>
      <c r="D3" s="867" t="s">
        <v>189</v>
      </c>
      <c r="E3" s="869" t="s">
        <v>190</v>
      </c>
      <c r="F3" s="864" t="s">
        <v>470</v>
      </c>
      <c r="G3" s="837" t="s">
        <v>205</v>
      </c>
      <c r="H3" s="839" t="s">
        <v>206</v>
      </c>
      <c r="I3" s="837" t="s">
        <v>205</v>
      </c>
      <c r="J3" s="839" t="s">
        <v>206</v>
      </c>
      <c r="K3" s="867" t="s">
        <v>208</v>
      </c>
      <c r="L3" s="867" t="s">
        <v>209</v>
      </c>
      <c r="M3" s="866" t="s">
        <v>210</v>
      </c>
      <c r="N3" s="864" t="s">
        <v>472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ht="126" customHeight="1" thickBot="1">
      <c r="A4" s="828"/>
      <c r="B4" s="827"/>
      <c r="C4" s="838"/>
      <c r="D4" s="844"/>
      <c r="E4" s="870"/>
      <c r="F4" s="865"/>
      <c r="G4" s="838"/>
      <c r="H4" s="840"/>
      <c r="I4" s="838"/>
      <c r="J4" s="840"/>
      <c r="K4" s="844"/>
      <c r="L4" s="844"/>
      <c r="M4" s="840"/>
      <c r="N4" s="86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 ht="14">
      <c r="A5" s="822" t="s">
        <v>213</v>
      </c>
      <c r="B5" s="253" t="s">
        <v>214</v>
      </c>
      <c r="C5" s="257">
        <f>'Limpeza - Imóveis'!V5</f>
        <v>17.05</v>
      </c>
      <c r="D5" s="255">
        <f>'Limpeza - Imóveis'!W5</f>
        <v>0</v>
      </c>
      <c r="E5" s="258">
        <f>'Limpeza - Imóveis'!X5</f>
        <v>234</v>
      </c>
      <c r="F5" s="303">
        <f>SUM(C5,D5,E5)</f>
        <v>251.05</v>
      </c>
      <c r="G5" s="304">
        <f>'Limpeza - Imóveis'!AA5</f>
        <v>199.67</v>
      </c>
      <c r="H5" s="256">
        <f>'Limpeza - Imóveis'!AB5</f>
        <v>199.67</v>
      </c>
      <c r="I5" s="305">
        <f>'Limpeza - Imóveis'!AC5</f>
        <v>155.33000000000001</v>
      </c>
      <c r="J5" s="256">
        <f>'Limpeza - Imóveis'!AD5</f>
        <v>155.33000000000001</v>
      </c>
      <c r="K5" s="305" t="s">
        <v>215</v>
      </c>
      <c r="L5" s="255" t="s">
        <v>215</v>
      </c>
      <c r="M5" s="256" t="s">
        <v>0</v>
      </c>
      <c r="N5" s="350">
        <f>SUM(G5:J5)</f>
        <v>710</v>
      </c>
      <c r="O5" s="388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 ht="14">
      <c r="A6" s="823"/>
      <c r="B6" s="281" t="s">
        <v>216</v>
      </c>
      <c r="C6" s="273">
        <f>'Limpeza - Imóveis'!V6</f>
        <v>130</v>
      </c>
      <c r="D6" s="274">
        <f>'Limpeza - Imóveis'!W6</f>
        <v>20</v>
      </c>
      <c r="E6" s="279">
        <f>'Limpeza - Imóveis'!X6</f>
        <v>0</v>
      </c>
      <c r="F6" s="306">
        <f t="shared" ref="F6:F12" si="0">SUM(C6,D6,E6)</f>
        <v>150</v>
      </c>
      <c r="G6" s="278">
        <f>'Limpeza - Imóveis'!AA6</f>
        <v>94.88</v>
      </c>
      <c r="H6" s="282">
        <f>'Limpeza - Imóveis'!AB6</f>
        <v>0</v>
      </c>
      <c r="I6" s="386">
        <f>'Limpeza - Imóveis'!AC6</f>
        <v>0</v>
      </c>
      <c r="J6" s="282">
        <f>'Limpeza - Imóveis'!AD6</f>
        <v>94.88</v>
      </c>
      <c r="K6" s="283" t="s">
        <v>215</v>
      </c>
      <c r="L6" s="274" t="s">
        <v>215</v>
      </c>
      <c r="M6" s="282" t="s">
        <v>0</v>
      </c>
      <c r="N6" s="267">
        <f t="shared" ref="N6:N12" si="1">SUM(G6:J6)</f>
        <v>189.76</v>
      </c>
      <c r="O6" s="388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 ht="14">
      <c r="A7" s="823"/>
      <c r="B7" s="268" t="s">
        <v>473</v>
      </c>
      <c r="C7" s="273">
        <f>'Limpeza - Imóveis'!V7</f>
        <v>0</v>
      </c>
      <c r="D7" s="274">
        <f>'Limpeza - Imóveis'!W7</f>
        <v>45</v>
      </c>
      <c r="E7" s="279">
        <f>'Limpeza - Imóveis'!X7</f>
        <v>430</v>
      </c>
      <c r="F7" s="306">
        <f t="shared" si="0"/>
        <v>475</v>
      </c>
      <c r="G7" s="278">
        <f>'Limpeza - Imóveis'!AA7</f>
        <v>404</v>
      </c>
      <c r="H7" s="282" t="str">
        <f>'Limpeza - Imóveis'!AB7</f>
        <v>-</v>
      </c>
      <c r="I7" s="386" t="str">
        <f>'Limpeza - Imóveis'!AC7</f>
        <v>-</v>
      </c>
      <c r="J7" s="282">
        <f>'Limpeza - Imóveis'!AD7</f>
        <v>404</v>
      </c>
      <c r="K7" s="283" t="s">
        <v>215</v>
      </c>
      <c r="L7" s="274" t="s">
        <v>215</v>
      </c>
      <c r="M7" s="280" t="s">
        <v>0</v>
      </c>
      <c r="N7" s="267">
        <f t="shared" si="1"/>
        <v>808</v>
      </c>
      <c r="O7" s="388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 ht="14">
      <c r="A8" s="823"/>
      <c r="B8" s="268" t="s">
        <v>493</v>
      </c>
      <c r="C8" s="273" t="str">
        <f>'Limpeza - Imóveis'!V8</f>
        <v>-</v>
      </c>
      <c r="D8" s="274" t="str">
        <f>'Limpeza - Imóveis'!W8</f>
        <v>-</v>
      </c>
      <c r="E8" s="279" t="str">
        <f>'Limpeza - Imóveis'!X8</f>
        <v>-</v>
      </c>
      <c r="F8" s="306">
        <f t="shared" si="0"/>
        <v>0</v>
      </c>
      <c r="G8" s="278">
        <f>'Limpeza - Imóveis'!AA8</f>
        <v>152.3135</v>
      </c>
      <c r="H8" s="282">
        <f>'Limpeza - Imóveis'!AB8</f>
        <v>152.31</v>
      </c>
      <c r="I8" s="386" t="str">
        <f>'Limpeza - Imóveis'!AC8</f>
        <v>-</v>
      </c>
      <c r="J8" s="282" t="str">
        <f>'Limpeza - Imóveis'!AD8</f>
        <v>-</v>
      </c>
      <c r="K8" s="283" t="s">
        <v>215</v>
      </c>
      <c r="L8" s="274" t="s">
        <v>215</v>
      </c>
      <c r="M8" s="280"/>
      <c r="N8" s="267">
        <f t="shared" si="1"/>
        <v>304.62350000000004</v>
      </c>
      <c r="O8" s="38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 ht="14">
      <c r="A9" s="823"/>
      <c r="B9" s="281" t="s">
        <v>218</v>
      </c>
      <c r="C9" s="273">
        <f>'Limpeza - Imóveis'!V10</f>
        <v>11.48</v>
      </c>
      <c r="D9" s="274">
        <f>'Limpeza - Imóveis'!W10</f>
        <v>40.440000000000005</v>
      </c>
      <c r="E9" s="279">
        <f>'Limpeza - Imóveis'!X10</f>
        <v>141.48999999999998</v>
      </c>
      <c r="F9" s="306">
        <f t="shared" si="0"/>
        <v>193.40999999999997</v>
      </c>
      <c r="G9" s="278">
        <f>'Limpeza - Imóveis'!AA10</f>
        <v>303.44</v>
      </c>
      <c r="H9" s="282">
        <f>'Limpeza - Imóveis'!AB10</f>
        <v>184.43</v>
      </c>
      <c r="I9" s="386" t="str">
        <f>'Limpeza - Imóveis'!AC10</f>
        <v>-</v>
      </c>
      <c r="J9" s="282">
        <f>'Limpeza - Imóveis'!AD10</f>
        <v>119.01</v>
      </c>
      <c r="K9" s="283" t="s">
        <v>215</v>
      </c>
      <c r="L9" s="274" t="s">
        <v>215</v>
      </c>
      <c r="M9" s="282" t="s">
        <v>0</v>
      </c>
      <c r="N9" s="267">
        <f t="shared" si="1"/>
        <v>606.88</v>
      </c>
      <c r="O9" s="388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 ht="14">
      <c r="A10" s="823"/>
      <c r="B10" s="281" t="s">
        <v>219</v>
      </c>
      <c r="C10" s="273">
        <f>'Limpeza - Imóveis'!V11</f>
        <v>0</v>
      </c>
      <c r="D10" s="274">
        <f>'Limpeza - Imóveis'!W11</f>
        <v>0</v>
      </c>
      <c r="E10" s="279">
        <f>'Limpeza - Imóveis'!X11</f>
        <v>1200</v>
      </c>
      <c r="F10" s="306">
        <f t="shared" si="0"/>
        <v>1200</v>
      </c>
      <c r="G10" s="278">
        <f>'Limpeza - Imóveis'!AA11</f>
        <v>337.673</v>
      </c>
      <c r="H10" s="282">
        <f>'Limpeza - Imóveis'!AB11</f>
        <v>337.673</v>
      </c>
      <c r="I10" s="386" t="str">
        <f>'Limpeza - Imóveis'!AC11</f>
        <v>-</v>
      </c>
      <c r="J10" s="282">
        <f>'Limpeza - Imóveis'!AD11</f>
        <v>300</v>
      </c>
      <c r="K10" s="283" t="s">
        <v>215</v>
      </c>
      <c r="L10" s="274" t="s">
        <v>215</v>
      </c>
      <c r="M10" s="282" t="s">
        <v>0</v>
      </c>
      <c r="N10" s="267">
        <f t="shared" si="1"/>
        <v>975.346</v>
      </c>
      <c r="O10" s="388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</row>
    <row r="11" spans="1:39" ht="14">
      <c r="A11" s="823"/>
      <c r="B11" s="281" t="s">
        <v>220</v>
      </c>
      <c r="C11" s="273">
        <f>'Limpeza - Imóveis'!V12</f>
        <v>46</v>
      </c>
      <c r="D11" s="274">
        <f>'Limpeza - Imóveis'!W12</f>
        <v>7</v>
      </c>
      <c r="E11" s="279">
        <f>'Limpeza - Imóveis'!X12</f>
        <v>67</v>
      </c>
      <c r="F11" s="306">
        <f t="shared" si="0"/>
        <v>120</v>
      </c>
      <c r="G11" s="278">
        <f>'Limpeza - Imóveis'!AA12</f>
        <v>52</v>
      </c>
      <c r="H11" s="282">
        <f>'Limpeza - Imóveis'!AB12</f>
        <v>52</v>
      </c>
      <c r="I11" s="386" t="str">
        <f>'Limpeza - Imóveis'!AC12</f>
        <v>-</v>
      </c>
      <c r="J11" s="282" t="str">
        <f>'Limpeza - Imóveis'!AD12</f>
        <v>-</v>
      </c>
      <c r="K11" s="283" t="s">
        <v>215</v>
      </c>
      <c r="L11" s="274" t="s">
        <v>215</v>
      </c>
      <c r="M11" s="282" t="s">
        <v>215</v>
      </c>
      <c r="N11" s="267">
        <f t="shared" si="1"/>
        <v>104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 ht="14.5" thickBot="1">
      <c r="A12" s="833"/>
      <c r="B12" s="294" t="s">
        <v>221</v>
      </c>
      <c r="C12" s="288">
        <f>'Limpeza - Imóveis'!V13</f>
        <v>0</v>
      </c>
      <c r="D12" s="286">
        <f>'Limpeza - Imóveis'!W13</f>
        <v>170</v>
      </c>
      <c r="E12" s="289">
        <f>'Limpeza - Imóveis'!X13</f>
        <v>300</v>
      </c>
      <c r="F12" s="290">
        <f t="shared" si="0"/>
        <v>470</v>
      </c>
      <c r="G12" s="288">
        <f>'Limpeza - Imóveis'!AA13</f>
        <v>144.85</v>
      </c>
      <c r="H12" s="287">
        <f>'Limpeza - Imóveis'!AB13</f>
        <v>144.85</v>
      </c>
      <c r="I12" s="307" t="str">
        <f>'Limpeza - Imóveis'!AC13</f>
        <v>-</v>
      </c>
      <c r="J12" s="287" t="str">
        <f>'Limpeza - Imóveis'!AD13</f>
        <v>-</v>
      </c>
      <c r="K12" s="307" t="s">
        <v>215</v>
      </c>
      <c r="L12" s="286" t="s">
        <v>215</v>
      </c>
      <c r="M12" s="287" t="s">
        <v>215</v>
      </c>
      <c r="N12" s="351">
        <f t="shared" si="1"/>
        <v>289.7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 s="132" customFormat="1"/>
    <row r="14" spans="1:39" s="132" customFormat="1"/>
    <row r="15" spans="1:39" s="132" customFormat="1"/>
    <row r="16" spans="1:39" s="132" customFormat="1"/>
    <row r="17" s="132" customFormat="1"/>
    <row r="18" s="132" customFormat="1"/>
    <row r="19" s="132" customFormat="1"/>
    <row r="20" s="132" customFormat="1"/>
    <row r="21" s="132" customFormat="1"/>
    <row r="22" s="132" customFormat="1"/>
    <row r="23" s="132" customFormat="1"/>
    <row r="24" s="132" customFormat="1"/>
    <row r="25" s="132" customFormat="1"/>
    <row r="26" s="132" customFormat="1"/>
    <row r="27" s="132" customFormat="1"/>
    <row r="28" s="132" customFormat="1"/>
    <row r="29" s="132" customFormat="1"/>
    <row r="30" s="132" customFormat="1"/>
    <row r="31" s="132" customFormat="1"/>
    <row r="32" s="132" customFormat="1"/>
    <row r="33" s="132" customFormat="1"/>
    <row r="34" s="132" customFormat="1"/>
    <row r="35" s="132" customFormat="1"/>
    <row r="36" s="132" customFormat="1"/>
    <row r="37" s="132" customFormat="1"/>
    <row r="38" s="132" customFormat="1"/>
    <row r="39" s="132" customFormat="1"/>
    <row r="40" s="132" customFormat="1"/>
    <row r="41" s="132" customFormat="1"/>
    <row r="42" s="132" customFormat="1"/>
    <row r="43" s="132" customFormat="1"/>
    <row r="44" s="132" customFormat="1"/>
    <row r="45" s="132" customFormat="1"/>
    <row r="46" s="132" customFormat="1"/>
    <row r="47" s="132" customFormat="1"/>
    <row r="48" s="132" customFormat="1"/>
    <row r="49" s="132" customFormat="1"/>
    <row r="50" s="132" customFormat="1"/>
    <row r="51" s="132" customFormat="1"/>
    <row r="52" s="132" customFormat="1"/>
    <row r="53" s="132" customFormat="1"/>
    <row r="54" s="132" customFormat="1"/>
    <row r="55" s="132" customFormat="1"/>
    <row r="56" s="132" customFormat="1"/>
    <row r="57" s="132" customFormat="1"/>
    <row r="58" s="132" customFormat="1"/>
    <row r="59" s="132" customFormat="1"/>
    <row r="60" s="132" customFormat="1"/>
    <row r="61" s="132" customFormat="1"/>
    <row r="62" s="132" customFormat="1"/>
    <row r="63" s="132" customFormat="1"/>
    <row r="64" s="132" customFormat="1"/>
    <row r="65" s="132" customFormat="1"/>
    <row r="66" s="132" customFormat="1"/>
    <row r="67" s="132" customFormat="1"/>
    <row r="68" s="132" customFormat="1"/>
    <row r="69" s="132" customFormat="1"/>
    <row r="70" s="132" customFormat="1"/>
    <row r="71" s="132" customFormat="1"/>
    <row r="72" s="132" customFormat="1"/>
    <row r="73" s="132" customFormat="1"/>
    <row r="74" s="132" customFormat="1"/>
    <row r="75" s="132" customFormat="1"/>
    <row r="76" s="132" customFormat="1"/>
    <row r="77" s="132" customFormat="1"/>
    <row r="78" s="132" customFormat="1"/>
    <row r="79" s="132" customFormat="1"/>
    <row r="80" s="132" customFormat="1"/>
    <row r="81" s="132" customFormat="1"/>
    <row r="82" s="132" customFormat="1"/>
    <row r="83" s="132" customFormat="1"/>
    <row r="84" s="132" customFormat="1"/>
    <row r="85" s="132" customFormat="1"/>
    <row r="86" s="132" customFormat="1"/>
    <row r="87" s="132" customFormat="1"/>
    <row r="88" s="132" customFormat="1"/>
    <row r="89" s="132" customFormat="1"/>
    <row r="90" s="132" customFormat="1"/>
    <row r="91" s="132" customFormat="1"/>
    <row r="92" s="132" customFormat="1"/>
    <row r="93" s="132" customFormat="1"/>
    <row r="94" s="132" customFormat="1"/>
    <row r="95" s="132" customFormat="1"/>
    <row r="96" s="132" customFormat="1"/>
    <row r="97" s="132" customFormat="1"/>
    <row r="98" s="132" customFormat="1"/>
    <row r="99" s="132" customFormat="1"/>
    <row r="100" s="132" customFormat="1"/>
    <row r="101" s="132" customFormat="1"/>
    <row r="102" s="132" customFormat="1"/>
    <row r="103" s="132" customFormat="1"/>
    <row r="104" s="132" customFormat="1"/>
    <row r="105" s="132" customFormat="1"/>
    <row r="106" s="132" customFormat="1"/>
    <row r="107" s="132" customFormat="1"/>
    <row r="108" s="132" customFormat="1"/>
    <row r="109" s="132" customFormat="1"/>
    <row r="110" s="132" customFormat="1"/>
    <row r="111" s="132" customFormat="1"/>
    <row r="112" s="132" customFormat="1"/>
    <row r="113" s="132" customFormat="1"/>
    <row r="114" s="132" customFormat="1"/>
    <row r="115" s="132" customFormat="1"/>
    <row r="116" s="132" customFormat="1"/>
    <row r="117" s="132" customFormat="1"/>
    <row r="118" s="132" customFormat="1"/>
    <row r="119" s="132" customFormat="1"/>
    <row r="120" s="132" customFormat="1"/>
    <row r="121" s="132" customFormat="1"/>
    <row r="122" s="132" customFormat="1"/>
    <row r="123" s="132" customFormat="1"/>
    <row r="124" s="132" customFormat="1"/>
    <row r="125" s="132" customFormat="1"/>
    <row r="126" s="132" customFormat="1"/>
    <row r="127" s="132" customFormat="1"/>
    <row r="128" s="132" customFormat="1"/>
    <row r="129" s="132" customFormat="1"/>
    <row r="130" s="132" customFormat="1"/>
    <row r="131" s="132" customFormat="1"/>
    <row r="132" s="132" customFormat="1"/>
    <row r="133" s="132" customFormat="1"/>
    <row r="134" s="132" customFormat="1"/>
    <row r="135" s="132" customFormat="1"/>
    <row r="136" s="132" customFormat="1"/>
    <row r="137" s="132" customFormat="1"/>
    <row r="138" s="132" customFormat="1"/>
    <row r="139" s="132" customFormat="1"/>
    <row r="140" s="132" customFormat="1"/>
    <row r="141" s="132" customFormat="1"/>
    <row r="142" s="132" customFormat="1"/>
    <row r="143" s="132" customFormat="1"/>
    <row r="144" s="132" customFormat="1"/>
    <row r="145" s="132" customFormat="1"/>
    <row r="146" s="132" customFormat="1"/>
    <row r="147" s="132" customFormat="1"/>
    <row r="148" s="132" customFormat="1"/>
    <row r="149" s="132" customFormat="1"/>
    <row r="150" s="132" customFormat="1"/>
    <row r="151" s="132" customFormat="1"/>
    <row r="152" s="132" customFormat="1"/>
    <row r="153" s="132" customFormat="1"/>
    <row r="154" s="132" customFormat="1"/>
    <row r="155" s="132" customFormat="1"/>
    <row r="156" s="132" customFormat="1"/>
    <row r="157" s="132" customFormat="1"/>
    <row r="158" s="132" customFormat="1"/>
    <row r="159" s="132" customFormat="1"/>
    <row r="160" s="132" customFormat="1"/>
    <row r="161" s="132" customFormat="1"/>
    <row r="162" s="132" customFormat="1"/>
    <row r="163" s="132" customFormat="1"/>
    <row r="164" s="132" customFormat="1"/>
    <row r="165" s="132" customFormat="1"/>
    <row r="166" s="132" customFormat="1"/>
    <row r="167" s="132" customFormat="1"/>
    <row r="168" s="132" customFormat="1"/>
    <row r="169" s="132" customFormat="1"/>
    <row r="170" s="132" customFormat="1"/>
    <row r="171" s="132" customFormat="1"/>
    <row r="172" s="132" customFormat="1"/>
    <row r="173" s="132" customFormat="1"/>
    <row r="174" s="132" customFormat="1"/>
    <row r="175" s="132" customFormat="1"/>
    <row r="176" s="132" customFormat="1"/>
    <row r="177" s="132" customFormat="1"/>
    <row r="178" s="132" customFormat="1"/>
    <row r="179" s="132" customFormat="1"/>
    <row r="180" s="132" customFormat="1"/>
    <row r="181" s="132" customFormat="1"/>
    <row r="182" s="132" customFormat="1"/>
    <row r="183" s="132" customFormat="1"/>
    <row r="184" s="132" customFormat="1"/>
    <row r="185" s="132" customFormat="1"/>
    <row r="186" s="132" customFormat="1"/>
    <row r="187" s="132" customFormat="1"/>
    <row r="188" s="132" customFormat="1"/>
    <row r="189" s="132" customFormat="1"/>
    <row r="190" s="132" customFormat="1"/>
    <row r="191" s="132" customFormat="1"/>
    <row r="192" s="132" customFormat="1"/>
    <row r="193" s="132" customFormat="1"/>
    <row r="194" s="132" customFormat="1"/>
    <row r="195" s="132" customFormat="1"/>
    <row r="196" s="132" customFormat="1"/>
    <row r="197" s="132" customFormat="1"/>
    <row r="198" s="132" customFormat="1"/>
    <row r="199" s="132" customFormat="1"/>
    <row r="200" s="132" customFormat="1"/>
    <row r="201" s="132" customFormat="1"/>
    <row r="202" s="132" customFormat="1"/>
    <row r="203" s="132" customFormat="1"/>
    <row r="204" s="132" customFormat="1"/>
    <row r="205" s="132" customFormat="1"/>
    <row r="206" s="132" customFormat="1"/>
    <row r="207" s="132" customFormat="1"/>
    <row r="208" s="132" customFormat="1"/>
    <row r="209" s="132" customFormat="1"/>
    <row r="210" s="132" customFormat="1"/>
    <row r="211" s="132" customFormat="1"/>
    <row r="212" s="132" customFormat="1"/>
    <row r="213" s="132" customFormat="1"/>
    <row r="214" s="132" customFormat="1"/>
    <row r="215" s="132" customFormat="1"/>
    <row r="216" s="132" customFormat="1"/>
    <row r="217" s="132" customFormat="1"/>
    <row r="218" s="132" customFormat="1"/>
    <row r="219" s="132" customFormat="1"/>
    <row r="220" s="132" customFormat="1"/>
    <row r="221" s="132" customFormat="1"/>
    <row r="222" s="132" customFormat="1"/>
    <row r="223" s="132" customFormat="1"/>
    <row r="224" s="132" customFormat="1"/>
    <row r="225" s="132" customFormat="1"/>
    <row r="226" s="132" customFormat="1"/>
    <row r="227" s="132" customFormat="1"/>
    <row r="228" s="132" customFormat="1"/>
    <row r="229" s="132" customFormat="1"/>
    <row r="230" s="132" customFormat="1"/>
    <row r="231" s="132" customFormat="1"/>
    <row r="232" s="132" customFormat="1"/>
    <row r="233" s="132" customFormat="1"/>
    <row r="234" s="132" customFormat="1"/>
    <row r="235" s="132" customFormat="1"/>
    <row r="236" s="132" customFormat="1"/>
    <row r="237" s="132" customFormat="1"/>
    <row r="238" s="132" customFormat="1"/>
    <row r="239" s="132" customFormat="1"/>
    <row r="240" s="132" customFormat="1"/>
    <row r="241" s="132" customFormat="1"/>
    <row r="242" s="132" customFormat="1"/>
    <row r="243" s="132" customFormat="1"/>
    <row r="244" s="132" customFormat="1"/>
    <row r="245" s="132" customFormat="1"/>
    <row r="246" s="132" customFormat="1"/>
    <row r="247" s="132" customFormat="1"/>
    <row r="248" s="132" customFormat="1"/>
    <row r="249" s="132" customFormat="1"/>
    <row r="250" s="132" customFormat="1"/>
    <row r="251" s="132" customFormat="1"/>
    <row r="252" s="132" customFormat="1"/>
    <row r="253" s="132" customFormat="1"/>
    <row r="254" s="132" customFormat="1"/>
    <row r="255" s="132" customFormat="1"/>
    <row r="256" s="132" customFormat="1"/>
    <row r="257" s="132" customFormat="1"/>
    <row r="258" s="132" customFormat="1"/>
    <row r="259" s="132" customFormat="1"/>
    <row r="260" s="132" customFormat="1"/>
    <row r="261" s="132" customFormat="1"/>
    <row r="262" s="132" customFormat="1"/>
    <row r="263" s="132" customFormat="1"/>
    <row r="264" s="132" customFormat="1"/>
    <row r="265" s="132" customFormat="1"/>
    <row r="266" s="132" customFormat="1"/>
    <row r="267" s="132" customFormat="1"/>
    <row r="268" s="132" customFormat="1"/>
    <row r="269" s="132" customFormat="1"/>
    <row r="270" s="132" customFormat="1"/>
    <row r="271" s="132" customFormat="1"/>
    <row r="272" s="132" customFormat="1"/>
    <row r="273" s="132" customFormat="1"/>
    <row r="274" s="132" customFormat="1"/>
    <row r="275" s="132" customFormat="1"/>
    <row r="276" s="132" customFormat="1"/>
    <row r="277" s="132" customFormat="1"/>
    <row r="278" s="132" customFormat="1"/>
    <row r="279" s="132" customFormat="1"/>
    <row r="280" s="132" customFormat="1"/>
    <row r="281" s="132" customFormat="1"/>
    <row r="282" s="132" customFormat="1"/>
    <row r="283" s="132" customFormat="1"/>
    <row r="284" s="132" customFormat="1"/>
    <row r="285" s="132" customFormat="1"/>
    <row r="286" s="132" customFormat="1"/>
    <row r="287" s="132" customFormat="1"/>
    <row r="288" s="132" customFormat="1"/>
    <row r="289" s="132" customFormat="1"/>
    <row r="290" s="132" customFormat="1"/>
    <row r="291" s="132" customFormat="1"/>
    <row r="292" s="132" customFormat="1"/>
    <row r="293" s="132" customFormat="1"/>
    <row r="294" s="132" customFormat="1"/>
    <row r="295" s="132" customFormat="1"/>
    <row r="296" s="132" customFormat="1"/>
    <row r="297" s="132" customFormat="1"/>
    <row r="298" s="132" customFormat="1"/>
    <row r="299" s="132" customFormat="1"/>
    <row r="300" s="132" customFormat="1"/>
    <row r="301" s="132" customFormat="1"/>
    <row r="302" s="132" customFormat="1"/>
    <row r="303" s="132" customFormat="1"/>
    <row r="304" s="132" customFormat="1"/>
    <row r="305" s="132" customFormat="1"/>
    <row r="306" s="132" customFormat="1"/>
    <row r="307" s="132" customFormat="1"/>
    <row r="308" s="132" customFormat="1"/>
    <row r="309" s="132" customFormat="1"/>
    <row r="310" s="132" customFormat="1"/>
    <row r="311" s="132" customFormat="1"/>
    <row r="312" s="132" customFormat="1"/>
    <row r="313" s="132" customFormat="1"/>
    <row r="314" s="132" customFormat="1"/>
    <row r="315" s="132" customFormat="1"/>
    <row r="316" s="132" customFormat="1"/>
    <row r="317" s="132" customFormat="1"/>
    <row r="318" s="132" customFormat="1"/>
    <row r="319" s="132" customFormat="1"/>
    <row r="320" s="132" customFormat="1"/>
    <row r="321" s="132" customFormat="1"/>
    <row r="322" s="132" customFormat="1"/>
    <row r="323" s="132" customFormat="1"/>
    <row r="324" s="132" customFormat="1"/>
    <row r="325" s="132" customFormat="1"/>
    <row r="326" s="132" customFormat="1"/>
    <row r="327" s="132" customFormat="1"/>
    <row r="328" s="132" customFormat="1"/>
    <row r="329" s="132" customFormat="1"/>
    <row r="330" s="132" customFormat="1"/>
    <row r="331" s="132" customFormat="1"/>
    <row r="332" s="132" customFormat="1"/>
    <row r="333" s="132" customFormat="1"/>
    <row r="334" s="132" customFormat="1"/>
    <row r="335" s="132" customFormat="1"/>
    <row r="336" s="132" customFormat="1"/>
    <row r="337" s="132" customFormat="1"/>
    <row r="338" s="132" customFormat="1"/>
    <row r="339" s="132" customFormat="1"/>
    <row r="340" s="132" customFormat="1"/>
    <row r="341" s="132" customFormat="1"/>
    <row r="342" s="132" customFormat="1"/>
    <row r="343" s="132" customFormat="1"/>
    <row r="344" s="132" customFormat="1"/>
    <row r="345" s="132" customFormat="1"/>
    <row r="346" s="132" customFormat="1"/>
    <row r="347" s="132" customFormat="1"/>
    <row r="348" s="132" customFormat="1"/>
    <row r="349" s="132" customFormat="1"/>
    <row r="350" s="132" customFormat="1"/>
    <row r="351" s="132" customFormat="1"/>
    <row r="352" s="132" customFormat="1"/>
    <row r="353" s="132" customFormat="1"/>
    <row r="354" s="132" customFormat="1"/>
    <row r="355" s="132" customFormat="1"/>
    <row r="356" s="132" customFormat="1"/>
    <row r="357" s="132" customFormat="1"/>
    <row r="358" s="132" customFormat="1"/>
    <row r="359" s="132" customFormat="1"/>
    <row r="360" s="132" customFormat="1"/>
    <row r="361" s="132" customFormat="1"/>
    <row r="362" s="132" customFormat="1"/>
    <row r="363" s="132" customFormat="1"/>
    <row r="364" s="132" customFormat="1"/>
    <row r="365" s="132" customFormat="1"/>
    <row r="366" s="132" customFormat="1"/>
    <row r="367" s="132" customFormat="1"/>
    <row r="368" s="132" customFormat="1"/>
    <row r="369" s="132" customFormat="1"/>
    <row r="370" s="132" customFormat="1"/>
    <row r="371" s="132" customFormat="1"/>
    <row r="372" s="132" customFormat="1"/>
    <row r="373" s="132" customFormat="1"/>
    <row r="374" s="132" customFormat="1"/>
    <row r="375" s="132" customFormat="1"/>
    <row r="376" s="132" customFormat="1"/>
    <row r="377" s="132" customFormat="1"/>
    <row r="378" s="132" customFormat="1"/>
    <row r="379" s="132" customFormat="1"/>
    <row r="380" s="132" customFormat="1"/>
    <row r="381" s="132" customFormat="1"/>
    <row r="382" s="132" customFormat="1"/>
    <row r="383" s="132" customFormat="1"/>
    <row r="384" s="132" customFormat="1"/>
    <row r="385" s="132" customFormat="1"/>
    <row r="386" s="132" customFormat="1"/>
    <row r="387" s="132" customFormat="1"/>
    <row r="388" s="132" customFormat="1"/>
    <row r="389" s="132" customFormat="1"/>
    <row r="390" s="132" customFormat="1"/>
    <row r="391" s="132" customFormat="1"/>
    <row r="392" s="132" customFormat="1"/>
    <row r="393" s="132" customFormat="1"/>
    <row r="394" s="132" customFormat="1"/>
    <row r="395" s="132" customFormat="1"/>
    <row r="396" s="132" customFormat="1"/>
    <row r="397" s="132" customFormat="1"/>
    <row r="398" s="132" customFormat="1"/>
    <row r="399" s="132" customFormat="1"/>
    <row r="400" s="132" customFormat="1"/>
    <row r="401" s="132" customFormat="1"/>
    <row r="402" s="132" customFormat="1"/>
    <row r="403" s="132" customFormat="1"/>
    <row r="404" s="132" customFormat="1"/>
    <row r="405" s="132" customFormat="1"/>
    <row r="406" s="132" customFormat="1"/>
    <row r="407" s="132" customFormat="1"/>
    <row r="408" s="132" customFormat="1"/>
    <row r="409" s="132" customFormat="1"/>
    <row r="410" s="132" customFormat="1"/>
    <row r="411" s="132" customFormat="1"/>
    <row r="412" s="132" customFormat="1"/>
    <row r="413" s="132" customFormat="1"/>
    <row r="414" s="132" customFormat="1"/>
    <row r="415" s="132" customFormat="1"/>
    <row r="416" s="132" customFormat="1"/>
    <row r="417" s="132" customFormat="1"/>
    <row r="418" s="132" customFormat="1"/>
    <row r="419" s="132" customFormat="1"/>
    <row r="420" s="132" customFormat="1"/>
    <row r="421" s="132" customFormat="1"/>
    <row r="422" s="132" customFormat="1"/>
    <row r="423" s="132" customFormat="1"/>
    <row r="424" s="132" customFormat="1"/>
    <row r="425" s="132" customFormat="1"/>
    <row r="426" s="132" customFormat="1"/>
    <row r="427" s="132" customFormat="1"/>
    <row r="428" s="132" customFormat="1"/>
    <row r="429" s="132" customFormat="1"/>
    <row r="430" s="132" customFormat="1"/>
    <row r="431" s="132" customFormat="1"/>
    <row r="432" s="132" customFormat="1"/>
    <row r="433" s="132" customFormat="1"/>
    <row r="434" s="132" customFormat="1"/>
    <row r="435" s="132" customFormat="1"/>
    <row r="436" s="132" customFormat="1"/>
    <row r="437" s="132" customFormat="1"/>
    <row r="438" s="132" customFormat="1"/>
    <row r="439" s="132" customFormat="1"/>
    <row r="440" s="132" customFormat="1"/>
    <row r="441" s="132" customFormat="1"/>
    <row r="442" s="132" customFormat="1"/>
    <row r="443" s="132" customFormat="1"/>
    <row r="444" s="132" customFormat="1"/>
    <row r="445" s="132" customFormat="1"/>
    <row r="446" s="132" customFormat="1"/>
    <row r="447" s="132" customFormat="1"/>
    <row r="448" s="132" customFormat="1"/>
    <row r="449" s="132" customFormat="1"/>
    <row r="450" s="132" customFormat="1"/>
    <row r="451" s="132" customFormat="1"/>
    <row r="452" s="132" customFormat="1"/>
    <row r="453" s="132" customFormat="1"/>
    <row r="454" s="132" customFormat="1"/>
    <row r="455" s="132" customFormat="1"/>
    <row r="456" s="132" customFormat="1"/>
    <row r="457" s="132" customFormat="1"/>
    <row r="458" s="132" customFormat="1"/>
    <row r="459" s="132" customFormat="1"/>
    <row r="460" s="132" customFormat="1"/>
    <row r="461" s="132" customFormat="1"/>
    <row r="462" s="132" customFormat="1"/>
    <row r="463" s="132" customFormat="1"/>
    <row r="464" s="132" customFormat="1"/>
    <row r="465" s="132" customFormat="1"/>
    <row r="466" s="132" customFormat="1"/>
    <row r="467" s="132" customFormat="1"/>
    <row r="468" s="132" customFormat="1"/>
    <row r="469" s="132" customFormat="1"/>
    <row r="470" s="132" customFormat="1"/>
    <row r="471" s="132" customFormat="1"/>
    <row r="472" s="132" customFormat="1"/>
    <row r="473" s="132" customFormat="1"/>
    <row r="474" s="132" customFormat="1"/>
    <row r="475" s="132" customFormat="1"/>
    <row r="476" s="132" customFormat="1"/>
    <row r="477" s="132" customFormat="1"/>
    <row r="478" s="132" customFormat="1"/>
    <row r="479" s="132" customFormat="1"/>
    <row r="480" s="132" customFormat="1"/>
    <row r="481" s="132" customFormat="1"/>
    <row r="482" s="132" customFormat="1"/>
    <row r="483" s="132" customFormat="1"/>
    <row r="484" s="132" customFormat="1"/>
    <row r="485" s="132" customFormat="1"/>
    <row r="486" s="132" customFormat="1"/>
    <row r="487" s="132" customFormat="1"/>
    <row r="488" s="132" customFormat="1"/>
    <row r="489" s="132" customFormat="1"/>
    <row r="490" s="132" customFormat="1"/>
    <row r="491" s="132" customFormat="1"/>
    <row r="492" s="132" customFormat="1"/>
    <row r="493" s="132" customFormat="1"/>
    <row r="494" s="132" customFormat="1"/>
    <row r="495" s="132" customFormat="1"/>
    <row r="496" s="132" customFormat="1"/>
    <row r="497" s="132" customFormat="1"/>
    <row r="498" s="132" customFormat="1"/>
    <row r="499" s="132" customFormat="1"/>
    <row r="500" s="132" customFormat="1"/>
    <row r="501" s="132" customFormat="1"/>
    <row r="502" s="132" customFormat="1"/>
    <row r="503" s="132" customFormat="1"/>
    <row r="504" s="132" customFormat="1"/>
    <row r="505" s="132" customFormat="1"/>
    <row r="506" s="132" customFormat="1"/>
    <row r="507" s="132" customFormat="1"/>
    <row r="508" s="132" customFormat="1"/>
    <row r="509" s="132" customFormat="1"/>
    <row r="510" s="132" customFormat="1"/>
    <row r="511" s="132" customFormat="1"/>
    <row r="512" s="132" customFormat="1"/>
    <row r="513" s="132" customFormat="1"/>
    <row r="514" s="132" customFormat="1"/>
    <row r="515" s="132" customFormat="1"/>
    <row r="516" s="132" customFormat="1"/>
    <row r="517" s="132" customFormat="1"/>
    <row r="518" s="132" customFormat="1"/>
    <row r="519" s="132" customFormat="1"/>
    <row r="520" s="132" customFormat="1"/>
    <row r="521" s="132" customFormat="1"/>
    <row r="522" s="132" customFormat="1"/>
    <row r="523" s="132" customFormat="1"/>
    <row r="524" s="132" customFormat="1"/>
    <row r="525" s="132" customFormat="1"/>
    <row r="526" s="132" customFormat="1"/>
    <row r="527" s="132" customFormat="1"/>
    <row r="528" s="132" customFormat="1"/>
    <row r="529" s="132" customFormat="1"/>
    <row r="530" s="132" customFormat="1"/>
    <row r="531" s="132" customFormat="1"/>
    <row r="532" s="132" customFormat="1"/>
    <row r="533" s="132" customFormat="1"/>
    <row r="534" s="132" customFormat="1"/>
    <row r="535" s="132" customFormat="1"/>
    <row r="536" s="132" customFormat="1"/>
    <row r="537" s="132" customFormat="1"/>
    <row r="538" s="132" customFormat="1"/>
    <row r="539" s="132" customFormat="1"/>
    <row r="540" s="132" customFormat="1"/>
    <row r="541" s="132" customFormat="1"/>
    <row r="542" s="132" customFormat="1"/>
    <row r="543" s="132" customFormat="1"/>
    <row r="544" s="132" customFormat="1"/>
    <row r="545" s="132" customFormat="1"/>
    <row r="546" s="132" customFormat="1"/>
    <row r="547" s="132" customFormat="1"/>
    <row r="548" s="132" customFormat="1"/>
    <row r="549" s="132" customFormat="1"/>
    <row r="550" s="132" customFormat="1"/>
    <row r="551" s="132" customFormat="1"/>
    <row r="552" s="132" customFormat="1"/>
    <row r="553" s="132" customFormat="1"/>
    <row r="554" s="132" customFormat="1"/>
    <row r="555" s="132" customFormat="1"/>
    <row r="556" s="132" customFormat="1"/>
    <row r="557" s="132" customFormat="1"/>
    <row r="558" s="132" customFormat="1"/>
    <row r="559" s="132" customFormat="1"/>
    <row r="560" s="132" customFormat="1"/>
  </sheetData>
  <sheetProtection algorithmName="SHA-512" hashValue="5GzCUCwhU5KUF3YL8cnGDYwPLCVjUBnjK4fabzgbE0LkuFTLDP+K+JgZm5HJR4+Ujq6p1KZN5yKq1tq8+ZrM2Q==" saltValue="eN9T6jjqBlVS0qn8BBDChg==" spinCount="100000" sheet="1" objects="1" scenarios="1"/>
  <mergeCells count="19">
    <mergeCell ref="D3:D4"/>
    <mergeCell ref="E3:E4"/>
    <mergeCell ref="F3:F4"/>
    <mergeCell ref="I2:J2"/>
    <mergeCell ref="I3:I4"/>
    <mergeCell ref="J3:J4"/>
    <mergeCell ref="A5:A12"/>
    <mergeCell ref="G3:G4"/>
    <mergeCell ref="H3:H4"/>
    <mergeCell ref="A1:B4"/>
    <mergeCell ref="C1:N1"/>
    <mergeCell ref="C2:F2"/>
    <mergeCell ref="K2:N2"/>
    <mergeCell ref="N3:N4"/>
    <mergeCell ref="G2:H2"/>
    <mergeCell ref="M3:M4"/>
    <mergeCell ref="K3:K4"/>
    <mergeCell ref="L3:L4"/>
    <mergeCell ref="C3:C4"/>
  </mergeCells>
  <pageMargins left="0.511811024" right="0.511811024" top="0.78740157499999996" bottom="0.78740157499999996" header="0.31496062000000002" footer="0.31496062000000002"/>
  <pageSetup paperSize="9" scale="68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54</vt:i4>
      </vt:variant>
      <vt:variant>
        <vt:lpstr>Intervalos Nomeados</vt:lpstr>
      </vt:variant>
      <vt:variant>
        <vt:i4>52</vt:i4>
      </vt:variant>
    </vt:vector>
  </HeadingPairs>
  <TitlesOfParts>
    <vt:vector size="106" baseType="lpstr">
      <vt:lpstr>proposta</vt:lpstr>
      <vt:lpstr>Planilha1</vt:lpstr>
      <vt:lpstr>Resumo Geral </vt:lpstr>
      <vt:lpstr>Recepção (40h) </vt:lpstr>
      <vt:lpstr>Motorista 1 (44h) </vt:lpstr>
      <vt:lpstr>Motorista 2 (44h)  </vt:lpstr>
      <vt:lpstr>Portaria Diurno Temp. SED (40h)</vt:lpstr>
      <vt:lpstr>Portaria Diurno SEDE (40h)</vt:lpstr>
      <vt:lpstr>Portaria Diurno Mgá (40h) </vt:lpstr>
      <vt:lpstr>Aux. Manut. Pred. (40h) </vt:lpstr>
      <vt:lpstr>Supervisor </vt:lpstr>
      <vt:lpstr>Planilha2</vt:lpstr>
      <vt:lpstr>Limpeza Sede Administrativa </vt:lpstr>
      <vt:lpstr>Limpeza Regional Curitiba</vt:lpstr>
      <vt:lpstr>Limpeza Regional Apucarana </vt:lpstr>
      <vt:lpstr>Limpeza Regional Cascavel</vt:lpstr>
      <vt:lpstr>Limpeza Regional Guarapuava </vt:lpstr>
      <vt:lpstr>Limpeza Regional Londrina</vt:lpstr>
      <vt:lpstr>Limpeza Regional Maringá</vt:lpstr>
      <vt:lpstr>Limpeza Regional Pato Branco </vt:lpstr>
      <vt:lpstr>Limpeza Regional Ponta Gros </vt:lpstr>
      <vt:lpstr>Limpeza Água Verde </vt:lpstr>
      <vt:lpstr>Limpeza Insp Arapongas </vt:lpstr>
      <vt:lpstr>Limpeza Insp Bandeirantes</vt:lpstr>
      <vt:lpstr>Limpeza Insp Campo Largo</vt:lpstr>
      <vt:lpstr>Limpeza Insp Campo Mourão</vt:lpstr>
      <vt:lpstr>Limpeza Insp Castro</vt:lpstr>
      <vt:lpstr>Limpeza Insp Cianorte</vt:lpstr>
      <vt:lpstr>Limpeza Insp Cornélio Proc.</vt:lpstr>
      <vt:lpstr>Limpeza Insp Foz do Iguaçu</vt:lpstr>
      <vt:lpstr>Limpeza Insp Francisco Belt.</vt:lpstr>
      <vt:lpstr>Limpeza Insp Ibaiti</vt:lpstr>
      <vt:lpstr>Limpeza Insp Irati</vt:lpstr>
      <vt:lpstr>Limpeza Insp Ivaiporã</vt:lpstr>
      <vt:lpstr>Limpeza Insp Jacarezinho</vt:lpstr>
      <vt:lpstr>Limpeza Insp Mal Cândido Ron</vt:lpstr>
      <vt:lpstr>Limpeza Insp Medianeira</vt:lpstr>
      <vt:lpstr>Limpeza Insp Palmas</vt:lpstr>
      <vt:lpstr>Limpeza Insp Paranaguá</vt:lpstr>
      <vt:lpstr>Limpeza Insp Paranavaí</vt:lpstr>
      <vt:lpstr>Limpeza Insp Realeza</vt:lpstr>
      <vt:lpstr>Limpeza Insp Rio Negro</vt:lpstr>
      <vt:lpstr>Limpeza Insp Sto Ant Platina</vt:lpstr>
      <vt:lpstr>Limpeza Insp São José Pinhais</vt:lpstr>
      <vt:lpstr>Limpeza Insp Telêmaco Borba</vt:lpstr>
      <vt:lpstr>Limpeza Insp Toledo</vt:lpstr>
      <vt:lpstr>Limpeza Insp Umuarama</vt:lpstr>
      <vt:lpstr>Limpeza Insp União Vitória</vt:lpstr>
      <vt:lpstr>Uniformes</vt:lpstr>
      <vt:lpstr>Limpeza - EPIs e EPCs </vt:lpstr>
      <vt:lpstr>Aux. Manut. Pred. - EPIs </vt:lpstr>
      <vt:lpstr>Limpeza - Materiais </vt:lpstr>
      <vt:lpstr>Limpeza - Imóveis</vt:lpstr>
      <vt:lpstr>Limpeza - Imóveis ext e envidra</vt:lpstr>
      <vt:lpstr>'Aux. Manut. Pred. - EPIs '!Area_de_impressao</vt:lpstr>
      <vt:lpstr>'Aux. Manut. Pred. (40h) '!Area_de_impressao</vt:lpstr>
      <vt:lpstr>'Limpeza - EPIs e EPCs '!Area_de_impressao</vt:lpstr>
      <vt:lpstr>'Limpeza - Imóveis'!Area_de_impressao</vt:lpstr>
      <vt:lpstr>'Limpeza - Imóveis ext e envidra'!Area_de_impressao</vt:lpstr>
      <vt:lpstr>'Limpeza - Materiais '!Area_de_impressao</vt:lpstr>
      <vt:lpstr>'Limpeza Água Verde '!Area_de_impressao</vt:lpstr>
      <vt:lpstr>'Limpeza Insp Arapongas '!Area_de_impressao</vt:lpstr>
      <vt:lpstr>'Limpeza Insp Bandeirantes'!Area_de_impressao</vt:lpstr>
      <vt:lpstr>'Limpeza Insp Campo Largo'!Area_de_impressao</vt:lpstr>
      <vt:lpstr>'Limpeza Insp Campo Mourão'!Area_de_impressao</vt:lpstr>
      <vt:lpstr>'Limpeza Insp Castro'!Area_de_impressao</vt:lpstr>
      <vt:lpstr>'Limpeza Insp Cianorte'!Area_de_impressao</vt:lpstr>
      <vt:lpstr>'Limpeza Insp Cornélio Proc.'!Area_de_impressao</vt:lpstr>
      <vt:lpstr>'Limpeza Insp Foz do Iguaçu'!Area_de_impressao</vt:lpstr>
      <vt:lpstr>'Limpeza Insp Francisco Belt.'!Area_de_impressao</vt:lpstr>
      <vt:lpstr>'Limpeza Insp Ibaiti'!Area_de_impressao</vt:lpstr>
      <vt:lpstr>'Limpeza Insp Irati'!Area_de_impressao</vt:lpstr>
      <vt:lpstr>'Limpeza Insp Ivaiporã'!Area_de_impressao</vt:lpstr>
      <vt:lpstr>'Limpeza Insp Jacarezinho'!Area_de_impressao</vt:lpstr>
      <vt:lpstr>'Limpeza Insp Mal Cândido Ron'!Area_de_impressao</vt:lpstr>
      <vt:lpstr>'Limpeza Insp Medianeira'!Area_de_impressao</vt:lpstr>
      <vt:lpstr>'Limpeza Insp Palmas'!Area_de_impressao</vt:lpstr>
      <vt:lpstr>'Limpeza Insp Paranaguá'!Area_de_impressao</vt:lpstr>
      <vt:lpstr>'Limpeza Insp Paranavaí'!Area_de_impressao</vt:lpstr>
      <vt:lpstr>'Limpeza Insp Realeza'!Area_de_impressao</vt:lpstr>
      <vt:lpstr>'Limpeza Insp Rio Negro'!Area_de_impressao</vt:lpstr>
      <vt:lpstr>'Limpeza Insp São José Pinhais'!Area_de_impressao</vt:lpstr>
      <vt:lpstr>'Limpeza Insp Sto Ant Platina'!Area_de_impressao</vt:lpstr>
      <vt:lpstr>'Limpeza Insp Telêmaco Borba'!Area_de_impressao</vt:lpstr>
      <vt:lpstr>'Limpeza Insp Toledo'!Area_de_impressao</vt:lpstr>
      <vt:lpstr>'Limpeza Insp Umuarama'!Area_de_impressao</vt:lpstr>
      <vt:lpstr>'Limpeza Insp União Vitória'!Area_de_impressao</vt:lpstr>
      <vt:lpstr>'Limpeza Regional Apucarana '!Area_de_impressao</vt:lpstr>
      <vt:lpstr>'Limpeza Regional Cascavel'!Area_de_impressao</vt:lpstr>
      <vt:lpstr>'Limpeza Regional Curitiba'!Area_de_impressao</vt:lpstr>
      <vt:lpstr>'Limpeza Regional Guarapuava '!Area_de_impressao</vt:lpstr>
      <vt:lpstr>'Limpeza Regional Londrina'!Area_de_impressao</vt:lpstr>
      <vt:lpstr>'Limpeza Regional Maringá'!Area_de_impressao</vt:lpstr>
      <vt:lpstr>'Limpeza Regional Pato Branco '!Area_de_impressao</vt:lpstr>
      <vt:lpstr>'Limpeza Regional Ponta Gros '!Area_de_impressao</vt:lpstr>
      <vt:lpstr>'Limpeza Sede Administrativa '!Area_de_impressao</vt:lpstr>
      <vt:lpstr>'Motorista 1 (44h) '!Area_de_impressao</vt:lpstr>
      <vt:lpstr>'Motorista 2 (44h)  '!Area_de_impressao</vt:lpstr>
      <vt:lpstr>'Portaria Diurno Mgá (40h) '!Area_de_impressao</vt:lpstr>
      <vt:lpstr>'Portaria Diurno SEDE (40h)'!Area_de_impressao</vt:lpstr>
      <vt:lpstr>'Portaria Diurno Temp. SED (40h)'!Area_de_impressao</vt:lpstr>
      <vt:lpstr>proposta!Area_de_impressao</vt:lpstr>
      <vt:lpstr>'Recepção (40h) '!Area_de_impressao</vt:lpstr>
      <vt:lpstr>'Resumo Geral '!Area_de_impressao</vt:lpstr>
      <vt:lpstr>'Supervisor '!Area_de_impressao</vt:lpstr>
      <vt:lpstr>Uniformes!Area_de_impressao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Jessica Cortes de Castro Narciso</cp:lastModifiedBy>
  <cp:lastPrinted>2025-04-01T14:22:47Z</cp:lastPrinted>
  <dcterms:created xsi:type="dcterms:W3CDTF">2010-12-08T17:56:29Z</dcterms:created>
  <dcterms:modified xsi:type="dcterms:W3CDTF">2025-04-01T15:05:42Z</dcterms:modified>
</cp:coreProperties>
</file>