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/>
  <mc:AlternateContent xmlns:mc="http://schemas.openxmlformats.org/markup-compatibility/2006">
    <mc:Choice Requires="x15">
      <x15ac:absPath xmlns:x15ac="http://schemas.microsoft.com/office/spreadsheetml/2010/11/ac" url="C:\Users\ivan\Desktop\"/>
    </mc:Choice>
  </mc:AlternateContent>
  <xr:revisionPtr revIDLastSave="0" documentId="8_{8E10E26B-033D-478D-9043-DB0E3BE42401}" xr6:coauthVersionLast="47" xr6:coauthVersionMax="47" xr10:uidLastSave="{00000000-0000-0000-0000-000000000000}"/>
  <bookViews>
    <workbookView xWindow="-120" yWindow="-120" windowWidth="29040" windowHeight="15720" tabRatio="500" xr2:uid="{00000000-000D-0000-FFFF-FFFF00000000}"/>
  </bookViews>
  <sheets>
    <sheet name="Resumo" sheetId="17" r:id="rId1"/>
    <sheet name="12X 36 Diurno" sheetId="20" r:id="rId2"/>
    <sheet name="12 x 36 Noturno" sheetId="16" r:id="rId3"/>
    <sheet name=" Insumos" sheetId="7" r:id="rId4"/>
  </sheets>
  <externalReferences>
    <externalReference r:id="rId5"/>
  </externalReferences>
  <definedNames>
    <definedName name="_xlnm.Print_Area" localSheetId="3">' Insumos'!$A$1:$F$25</definedName>
    <definedName name="_xlnm.Print_Area" localSheetId="2">'12 x 36 Noturno'!$A$1:$D$123</definedName>
    <definedName name="_xlnm.Print_Area" localSheetId="1">'12X 36 Diurno'!$A$1:$D$123</definedName>
    <definedName name="DIAS_AUSENCIAS_LEGAIS">'[1]DADOS-ESTATISTICOS'!$F$29</definedName>
    <definedName name="DIAS_LICENCA_MATERNIDADE">'[1]DADOS-ESTATISTICOS'!$F$35</definedName>
    <definedName name="DIAS_LICENCA_PATERNIDADE">'[1]DADOS-ESTATISTICOS'!$F$30</definedName>
    <definedName name="DIAS_NO_MES">'[1]DADOS-ESTATISTICOS'!$F$24</definedName>
    <definedName name="DIAS_PAGOS_EMPRESA_ACID_TRAB">'[1]DADOS-ESTATISTICOS'!$F$34</definedName>
    <definedName name="MESES_NO_ANO">'[1]DADOS-ESTATISTICOS'!$F$8</definedName>
    <definedName name="PERC_EMPREG_AFAST_TRAB">'[1]DADOS-ESTATISTICOS'!$F$33</definedName>
    <definedName name="PERC_GPS_FGTS" localSheetId="2">'12 x 36 Noturno'!#REF!</definedName>
    <definedName name="PERC_GPS_FGTS" localSheetId="1">'12X 36 Diurno'!#REF!</definedName>
    <definedName name="PERC_GPS_FGTS">#REF!</definedName>
    <definedName name="PERC_NASCIDOS_VIVOS_POPUL_FEM">'[1]DADOS-ESTATISTICOS'!$F$31</definedName>
    <definedName name="PERC_PARTIC_FEM_VIGIL">'[1]DADOS-ESTATISTICOS'!$F$36</definedName>
    <definedName name="PERC_PARTIC_MASC_VIGIL">'[1]DADOS-ESTATISTICOS'!$F$32</definedName>
    <definedName name="PERC_SUBSTITUTO_OUTRAS_AUSENCIAS">'[1]INSERÇÃO-DE-DADOS'!$F$51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5" i="17" l="1"/>
  <c r="G5" i="17" s="1"/>
  <c r="G4" i="17"/>
  <c r="E4" i="17"/>
  <c r="E25" i="7"/>
  <c r="D22" i="7" l="1"/>
  <c r="E22" i="7" s="1"/>
  <c r="F22" i="7" s="1"/>
  <c r="C80" i="16"/>
  <c r="C78" i="16"/>
  <c r="C77" i="16"/>
  <c r="D48" i="16"/>
  <c r="C80" i="20"/>
  <c r="C78" i="20"/>
  <c r="C77" i="20"/>
  <c r="D48" i="20"/>
  <c r="C111" i="20" l="1"/>
  <c r="C79" i="20"/>
  <c r="C76" i="20"/>
  <c r="C82" i="20" s="1"/>
  <c r="C68" i="20"/>
  <c r="C70" i="20" s="1"/>
  <c r="C67" i="20"/>
  <c r="C65" i="20"/>
  <c r="D53" i="20"/>
  <c r="D49" i="20"/>
  <c r="D54" i="20" s="1"/>
  <c r="D60" i="20" s="1"/>
  <c r="C44" i="20"/>
  <c r="C30" i="20"/>
  <c r="C29" i="20"/>
  <c r="D19" i="20"/>
  <c r="D53" i="16"/>
  <c r="D49" i="16"/>
  <c r="C111" i="16"/>
  <c r="C79" i="16"/>
  <c r="C76" i="16"/>
  <c r="C68" i="16"/>
  <c r="C81" i="16" s="1"/>
  <c r="C70" i="16"/>
  <c r="C67" i="16"/>
  <c r="C65" i="16"/>
  <c r="C66" i="16" s="1"/>
  <c r="C44" i="16"/>
  <c r="C69" i="16" s="1"/>
  <c r="C30" i="16"/>
  <c r="C29" i="16"/>
  <c r="C31" i="16" s="1"/>
  <c r="D19" i="16"/>
  <c r="D21" i="7"/>
  <c r="E21" i="7" s="1"/>
  <c r="F21" i="7" s="1"/>
  <c r="D5" i="7"/>
  <c r="E5" i="7" s="1"/>
  <c r="F5" i="7" s="1"/>
  <c r="D6" i="7"/>
  <c r="E6" i="7" s="1"/>
  <c r="F6" i="7" s="1"/>
  <c r="D7" i="7"/>
  <c r="E7" i="7" s="1"/>
  <c r="F7" i="7" s="1"/>
  <c r="D8" i="7"/>
  <c r="E8" i="7" s="1"/>
  <c r="F8" i="7" s="1"/>
  <c r="D9" i="7"/>
  <c r="E9" i="7" s="1"/>
  <c r="F9" i="7" s="1"/>
  <c r="D10" i="7"/>
  <c r="E10" i="7" s="1"/>
  <c r="F10" i="7" s="1"/>
  <c r="D11" i="7"/>
  <c r="E11" i="7" s="1"/>
  <c r="F11" i="7" s="1"/>
  <c r="D12" i="7"/>
  <c r="E12" i="7" s="1"/>
  <c r="F12" i="7" s="1"/>
  <c r="D13" i="7"/>
  <c r="E13" i="7" s="1"/>
  <c r="F13" i="7" s="1"/>
  <c r="D14" i="7"/>
  <c r="E14" i="7" s="1"/>
  <c r="F14" i="7" s="1"/>
  <c r="D15" i="7"/>
  <c r="E15" i="7" s="1"/>
  <c r="F15" i="7" s="1"/>
  <c r="D4" i="7"/>
  <c r="E4" i="7" s="1"/>
  <c r="F4" i="7" s="1"/>
  <c r="D20" i="7"/>
  <c r="E20" i="7" s="1"/>
  <c r="F20" i="7" s="1"/>
  <c r="D23" i="7"/>
  <c r="D24" i="7" s="1"/>
  <c r="F16" i="7" l="1"/>
  <c r="E16" i="7"/>
  <c r="E23" i="7"/>
  <c r="F23" i="7" s="1"/>
  <c r="D21" i="16"/>
  <c r="D54" i="16"/>
  <c r="D60" i="16" s="1"/>
  <c r="C82" i="16"/>
  <c r="D24" i="20"/>
  <c r="C71" i="16"/>
  <c r="C69" i="20"/>
  <c r="C31" i="20"/>
  <c r="D24" i="16"/>
  <c r="C66" i="20"/>
  <c r="D80" i="20"/>
  <c r="D16" i="7"/>
  <c r="D25" i="7" s="1"/>
  <c r="D81" i="20" l="1"/>
  <c r="D86" i="20"/>
  <c r="D87" i="20" s="1"/>
  <c r="D92" i="20" s="1"/>
  <c r="D115" i="20"/>
  <c r="D79" i="20"/>
  <c r="D76" i="20"/>
  <c r="D70" i="20"/>
  <c r="D68" i="20"/>
  <c r="D79" i="16"/>
  <c r="D86" i="16"/>
  <c r="D87" i="16" s="1"/>
  <c r="D92" i="16" s="1"/>
  <c r="D99" i="16"/>
  <c r="D99" i="20"/>
  <c r="C71" i="20"/>
  <c r="D78" i="20"/>
  <c r="D77" i="20"/>
  <c r="D30" i="20"/>
  <c r="D67" i="20"/>
  <c r="D29" i="20"/>
  <c r="D31" i="20" s="1"/>
  <c r="D58" i="20" s="1"/>
  <c r="D69" i="20"/>
  <c r="D65" i="20"/>
  <c r="F25" i="7"/>
  <c r="D81" i="16"/>
  <c r="D80" i="16"/>
  <c r="D76" i="16"/>
  <c r="D69" i="16"/>
  <c r="D65" i="16"/>
  <c r="D78" i="16"/>
  <c r="D30" i="16"/>
  <c r="D115" i="16"/>
  <c r="D67" i="16"/>
  <c r="D29" i="16"/>
  <c r="D66" i="16"/>
  <c r="D77" i="16"/>
  <c r="D68" i="16"/>
  <c r="D70" i="16"/>
  <c r="D37" i="20"/>
  <c r="D42" i="20"/>
  <c r="D66" i="20"/>
  <c r="D36" i="20" l="1"/>
  <c r="D82" i="20"/>
  <c r="D91" i="20" s="1"/>
  <c r="D93" i="20" s="1"/>
  <c r="D118" i="20" s="1"/>
  <c r="D38" i="20"/>
  <c r="D97" i="16"/>
  <c r="D97" i="20"/>
  <c r="D101" i="20" s="1"/>
  <c r="D119" i="20" s="1"/>
  <c r="D101" i="16"/>
  <c r="D119" i="16" s="1"/>
  <c r="D71" i="16"/>
  <c r="D117" i="16" s="1"/>
  <c r="D41" i="20"/>
  <c r="D39" i="20"/>
  <c r="D44" i="20" s="1"/>
  <c r="D59" i="20" s="1"/>
  <c r="D61" i="20" s="1"/>
  <c r="D116" i="20" s="1"/>
  <c r="D40" i="20"/>
  <c r="D43" i="20"/>
  <c r="D71" i="20"/>
  <c r="D117" i="20" s="1"/>
  <c r="D31" i="16"/>
  <c r="D58" i="16" s="1"/>
  <c r="D82" i="16"/>
  <c r="D91" i="16" s="1"/>
  <c r="D93" i="16" s="1"/>
  <c r="D118" i="16" s="1"/>
  <c r="D120" i="20" l="1"/>
  <c r="D39" i="16"/>
  <c r="D40" i="16"/>
  <c r="D38" i="16"/>
  <c r="D36" i="16"/>
  <c r="D37" i="16"/>
  <c r="D42" i="16"/>
  <c r="D43" i="16"/>
  <c r="D41" i="16"/>
  <c r="D105" i="20" l="1"/>
  <c r="D106" i="20"/>
  <c r="D110" i="20" s="1"/>
  <c r="D44" i="16"/>
  <c r="D59" i="16" s="1"/>
  <c r="D61" i="16" s="1"/>
  <c r="D116" i="16" s="1"/>
  <c r="D109" i="20"/>
  <c r="D108" i="20"/>
  <c r="D120" i="16" l="1"/>
  <c r="D105" i="16" s="1"/>
  <c r="D111" i="20"/>
  <c r="D121" i="20" s="1"/>
  <c r="D122" i="20" s="1"/>
  <c r="D123" i="20" s="1"/>
  <c r="D106" i="16" l="1"/>
  <c r="D108" i="16" s="1"/>
  <c r="D110" i="16"/>
  <c r="D109" i="16"/>
  <c r="C5" i="17"/>
  <c r="D111" i="16"/>
  <c r="D121" i="16" s="1"/>
  <c r="D122" i="16" s="1"/>
  <c r="D123" i="16" s="1"/>
  <c r="C4" i="17" l="1"/>
  <c r="G6" i="17" l="1"/>
  <c r="G7" i="17" s="1"/>
</calcChain>
</file>

<file path=xl/sharedStrings.xml><?xml version="1.0" encoding="utf-8"?>
<sst xmlns="http://schemas.openxmlformats.org/spreadsheetml/2006/main" count="440" uniqueCount="169">
  <si>
    <t>(A)</t>
  </si>
  <si>
    <t>(B)</t>
  </si>
  <si>
    <t>(D) = (B x C)</t>
  </si>
  <si>
    <t>(E)</t>
  </si>
  <si>
    <t>(F) = (D x E)</t>
  </si>
  <si>
    <t>( C)</t>
  </si>
  <si>
    <t>PLANILHA DE CUSTOS E FORMAÇÃO DE PREÇOS</t>
  </si>
  <si>
    <t>DISCRIMINAÇÃO DOS SERVIÇOS</t>
  </si>
  <si>
    <t>1. MÓDULOS</t>
  </si>
  <si>
    <t>Mão de obra</t>
  </si>
  <si>
    <t>Mão de obra vinculada à execução contratual</t>
  </si>
  <si>
    <t>Dados para composição dos custos referentes a mão de obra</t>
  </si>
  <si>
    <t>Tipo de serviço (mesmo serviço com características distintas)</t>
  </si>
  <si>
    <t>Classificação Brasileira de Ocupações (CBO)</t>
  </si>
  <si>
    <t>Salário Normativo da Categoria Profissional</t>
  </si>
  <si>
    <t>Categoria Profissional (vinculada à execução contratual)</t>
  </si>
  <si>
    <t>Data-Base da Categoria (dia/mês/ano)</t>
  </si>
  <si>
    <t>Módulo 1 – Composição da Remuneração</t>
  </si>
  <si>
    <t>Composição da Remuneração</t>
  </si>
  <si>
    <t>Valor (R$)</t>
  </si>
  <si>
    <t>A</t>
  </si>
  <si>
    <t>Salário-Base</t>
  </si>
  <si>
    <t>B</t>
  </si>
  <si>
    <t>Adicional de Periculosidade</t>
  </si>
  <si>
    <t>C</t>
  </si>
  <si>
    <t>Adicional de Insalubridade</t>
  </si>
  <si>
    <t>D</t>
  </si>
  <si>
    <t>Adicional Noturno</t>
  </si>
  <si>
    <t>E</t>
  </si>
  <si>
    <t>Adicional de Hora Noturna Reduzida</t>
  </si>
  <si>
    <t>F</t>
  </si>
  <si>
    <t>Outros (especificar)</t>
  </si>
  <si>
    <t>Total</t>
  </si>
  <si>
    <t>Módulo 2 – Encargos e Benefícios Anuais, Mensais e Diários</t>
  </si>
  <si>
    <t>2.1</t>
  </si>
  <si>
    <t>13º (décimo terceiro) Salário, Férias e Adicional de Férias</t>
  </si>
  <si>
    <t>13º (décimo terceiro) Salário</t>
  </si>
  <si>
    <t>Submódulo 2.2 – Encargos Previdenciários (GPS), Fundo de Garantia por Tempo</t>
  </si>
  <si>
    <t>de Serviço (FGTS) e outras contribuições.</t>
  </si>
  <si>
    <t>2.2</t>
  </si>
  <si>
    <t>GPS, FGTS e outras contribuições</t>
  </si>
  <si>
    <t>Percentual (%)</t>
  </si>
  <si>
    <t>INSS</t>
  </si>
  <si>
    <t>Salário Educação</t>
  </si>
  <si>
    <t>SAT</t>
  </si>
  <si>
    <t>SESC ou SESI</t>
  </si>
  <si>
    <t>SENAI – SENAC</t>
  </si>
  <si>
    <t>SEBRAE</t>
  </si>
  <si>
    <t>G</t>
  </si>
  <si>
    <t>INCRA</t>
  </si>
  <si>
    <t>H</t>
  </si>
  <si>
    <t>FGTS</t>
  </si>
  <si>
    <t>Submódulo 2.3 – Benefícios Mensais e Diários</t>
  </si>
  <si>
    <t>2.3</t>
  </si>
  <si>
    <t>Benefícios Mensais e Diários</t>
  </si>
  <si>
    <t>Transporte</t>
  </si>
  <si>
    <t>Auxílio-Refeição/Alimentação</t>
  </si>
  <si>
    <t>Assistência Médica e Familiar</t>
  </si>
  <si>
    <t>Quadro-Resumo do Módulo 2 – Encargos e Benefícios anuais, mensais e diários</t>
  </si>
  <si>
    <t>Encargos e Benefícios Anuais, Mensais e Diários</t>
  </si>
  <si>
    <t>Módulo 3 – Provisão para Rescisão</t>
  </si>
  <si>
    <t>Provisão para Rescisão</t>
  </si>
  <si>
    <t xml:space="preserve">Aviso Prévio Indenizado </t>
  </si>
  <si>
    <t xml:space="preserve">Incidência do FGTS sobre o Aviso Prévio Indenizado </t>
  </si>
  <si>
    <t>Multa do FGTS e contribuição social sobre o Aviso Prévio Trabalhado</t>
  </si>
  <si>
    <t>Módulo 4 – Custo de Reposição do Profissional Ausente</t>
  </si>
  <si>
    <t>Submódulo 4.1 – Substituto de Ausências Legais</t>
  </si>
  <si>
    <t>4.1</t>
  </si>
  <si>
    <t>Substituto de Ausências Legais</t>
  </si>
  <si>
    <t>Substituto na cobertura de Férias</t>
  </si>
  <si>
    <t>Substituto na cobertura de Ausências Legais</t>
  </si>
  <si>
    <t>Substituto na cobertura de Licença Paternidade</t>
  </si>
  <si>
    <t>Substituto na cobertura de Ausência por acidente de trabalho</t>
  </si>
  <si>
    <t>Substituto na cobertura de Outras ausências (especificar)</t>
  </si>
  <si>
    <t>Subtotal</t>
  </si>
  <si>
    <t>Submódulo 4.2 – Substituto na Intrajornada</t>
  </si>
  <si>
    <t>4.2</t>
  </si>
  <si>
    <t>Substituto na Intrajornada</t>
  </si>
  <si>
    <t>Substituto na cobertura de Intervalo para repouso ou alimentação</t>
  </si>
  <si>
    <t>Quadro-Resumo do Módulo 4 – Custo de Reposição do Profissional Ausente</t>
  </si>
  <si>
    <t>Custo de Reposição do Profissional Ausente</t>
  </si>
  <si>
    <t>Substituto nas Ausências Legais</t>
  </si>
  <si>
    <t>Módulo 5 – Insumos Diversos</t>
  </si>
  <si>
    <t>Insumo Diversos</t>
  </si>
  <si>
    <t>Módulo 6 – Custos Indiretos, Tributos e Lucro</t>
  </si>
  <si>
    <t>Custos Indiretos, Tributos e Lucro</t>
  </si>
  <si>
    <t>Custos Indiretos</t>
  </si>
  <si>
    <t>Lucro</t>
  </si>
  <si>
    <t>Tributos</t>
  </si>
  <si>
    <t>2. QUADRO-RESUMO DO CUSTO POR EMPREGADO</t>
  </si>
  <si>
    <t>Mão de obra vinculada à execução contratual (valor por empregado)</t>
  </si>
  <si>
    <t>Módulo 5 – Insumo Diversos</t>
  </si>
  <si>
    <t>Subtotal (A + B + C + D + E)</t>
  </si>
  <si>
    <t>Valor total por empregado</t>
  </si>
  <si>
    <t xml:space="preserve">Substituto na cobertura de Afastamento Maternidade </t>
  </si>
  <si>
    <t xml:space="preserve">Aviso Prévio Trabalhado </t>
  </si>
  <si>
    <t xml:space="preserve">Incidência de GPS, FGTS e outras contribuições sobre o Aviso Prévio Trabalhado </t>
  </si>
  <si>
    <t xml:space="preserve">Multa do FGTS e contribuição social sobre o Aviso Prévio Indenizado </t>
  </si>
  <si>
    <t>Descrição</t>
  </si>
  <si>
    <t>Capa de chuva</t>
  </si>
  <si>
    <t>Seguro de vida//invalidez e funeral</t>
  </si>
  <si>
    <t>C.2. Tributos Estaduais ( Confins )</t>
  </si>
  <si>
    <t>C.3. Tributos Municipais ( ISS )</t>
  </si>
  <si>
    <t>C.1. Tributos Federais ( PIS )</t>
  </si>
  <si>
    <t xml:space="preserve"> CBO517330</t>
  </si>
  <si>
    <t xml:space="preserve">           SIND DOS VIGILANTE</t>
  </si>
  <si>
    <t>Quantidade p/ 12 meses</t>
  </si>
  <si>
    <t>Valor Unit.</t>
  </si>
  <si>
    <t>Valor Total p/ 12 meses</t>
  </si>
  <si>
    <t>Valor Mensal p/ Posto</t>
  </si>
  <si>
    <t xml:space="preserve">Equipamentos Coletivos Por Postos </t>
  </si>
  <si>
    <t xml:space="preserve">Uniformes </t>
  </si>
  <si>
    <t xml:space="preserve">Quantidade p/ 12 meses </t>
  </si>
  <si>
    <t>Equipamentos Coletivos Por Postos</t>
  </si>
  <si>
    <t>Equipamentos individuais</t>
  </si>
  <si>
    <t>Valor Mensal dos Serviços</t>
  </si>
  <si>
    <t>Fundo de Formação Profissional (mensal)</t>
  </si>
  <si>
    <t>Adicional de Férias</t>
  </si>
  <si>
    <t xml:space="preserve">Jaqueta forrada </t>
  </si>
  <si>
    <t>Cinto de Nylon</t>
  </si>
  <si>
    <t>Cracha</t>
  </si>
  <si>
    <t>Porta cassetete</t>
  </si>
  <si>
    <t>Apito</t>
  </si>
  <si>
    <t>Cordão de apito</t>
  </si>
  <si>
    <t xml:space="preserve">Calça </t>
  </si>
  <si>
    <t xml:space="preserve">Camisa de manga curta </t>
  </si>
  <si>
    <t>Camisa de manga comprida</t>
  </si>
  <si>
    <t>Par de coturnos ou sapatos</t>
  </si>
  <si>
    <t>Par de meias</t>
  </si>
  <si>
    <t>Livro de ocorrência</t>
  </si>
  <si>
    <t>Cassetete</t>
  </si>
  <si>
    <t>Lanterna Portatil em LED recarregável</t>
  </si>
  <si>
    <t xml:space="preserve">Descrição dos Insumo Diversos – Custo por Funcionário </t>
  </si>
  <si>
    <t>Total geral</t>
  </si>
  <si>
    <t>Valor Mensal por funcionário</t>
  </si>
  <si>
    <t>Segunda a domingo (12 horas noturnas)</t>
  </si>
  <si>
    <t>Tipo de Serviço</t>
  </si>
  <si>
    <t>Valor por Empregado</t>
  </si>
  <si>
    <t>Qtde. de Empregados por Posto</t>
  </si>
  <si>
    <t>Valor por Posto</t>
  </si>
  <si>
    <t xml:space="preserve">Qtde. de Postos </t>
  </si>
  <si>
    <t>Valor Total do Serviço</t>
  </si>
  <si>
    <t>Valor Total (12 Meses)</t>
  </si>
  <si>
    <t>Submódulo 2.1 – 13º (décimo terceiro) Salário e Adicional de Férias</t>
  </si>
  <si>
    <t xml:space="preserve">Auxílio-Refeição/Alimentação nas férias </t>
  </si>
  <si>
    <t>Segunda a domingo (12 horas diurno)</t>
  </si>
  <si>
    <t>2026 a 2027</t>
  </si>
  <si>
    <t>RESUMO</t>
  </si>
  <si>
    <t>Boné ou equivalente</t>
  </si>
  <si>
    <t>6 MESES</t>
  </si>
  <si>
    <t>CALÇAS</t>
  </si>
  <si>
    <t>CAMISAS MANGA CURTA</t>
  </si>
  <si>
    <t>CAMISAS MANGA LONGA</t>
  </si>
  <si>
    <t>CINTO DE NYLON</t>
  </si>
  <si>
    <t>PARES DE SAPATO</t>
  </si>
  <si>
    <t>PARES DE MEIAS</t>
  </si>
  <si>
    <t>JAQUETA DE FRIO</t>
  </si>
  <si>
    <t>CAPA DE CHUVA</t>
  </si>
  <si>
    <t>CRACHA</t>
  </si>
  <si>
    <t>PORTA CACETETE</t>
  </si>
  <si>
    <t>APITO</t>
  </si>
  <si>
    <t>CORDÃO DE APITO</t>
  </si>
  <si>
    <t>BONÉ</t>
  </si>
  <si>
    <t>LIVRO</t>
  </si>
  <si>
    <t>CACETETE</t>
  </si>
  <si>
    <t>LANTERNA EM LED</t>
  </si>
  <si>
    <t>Vigilância – 12 horas DIURNAS, de segunda a domingo, em turnos de 12x36 horas.</t>
  </si>
  <si>
    <t>Vigilância – 12 horas NOTURNAS, de segunda a domingo, em turnos de 12x36 horas.</t>
  </si>
  <si>
    <t>TOTAL POR POSTO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</si>
</sst>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4" formatCode="_-&quot;R$&quot;\ * #,##0.00_-;\-&quot;R$&quot;\ * #,##0.00_-;_-&quot;R$&quot;\ * &quot;-&quot;??_-;_-@_-"/>
    <numFmt numFmtId="43" formatCode="_-* #,##0.00_-;\-* #,##0.00_-;_-* &quot;-&quot;??_-;_-@_-"/>
    <numFmt numFmtId="164" formatCode="\ * #,##0.00\ ;\ * \(#,##0.00\);\ * \-#\ ;\ @\ "/>
    <numFmt numFmtId="165" formatCode="0.000%"/>
    <numFmt numFmtId="166" formatCode="_-[$R$-416]\ * #,##0.00_-;\-[$R$-416]\ * #,##0.00_-;_-[$R$-416]\ * &quot;-&quot;??_-;_-@_-"/>
  </numFmts>
  <fonts count="18">
    <font>
      <sz val="10"/>
      <name val="Arial"/>
      <family val="2"/>
    </font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sz val="10"/>
      <color indexed="63"/>
      <name val="Arial"/>
      <family val="2"/>
    </font>
    <font>
      <sz val="10"/>
      <color indexed="23"/>
      <name val="Arial"/>
      <family val="2"/>
    </font>
    <font>
      <sz val="10"/>
      <color indexed="17"/>
      <name val="Arial"/>
      <family val="2"/>
    </font>
    <font>
      <sz val="10"/>
      <color indexed="19"/>
      <name val="Arial"/>
      <family val="2"/>
    </font>
    <font>
      <sz val="10"/>
      <color indexed="10"/>
      <name val="Arial"/>
      <family val="2"/>
    </font>
    <font>
      <sz val="10"/>
      <color indexed="9"/>
      <name val="Arial"/>
      <family val="2"/>
    </font>
    <font>
      <sz val="12"/>
      <name val="Times New Roman"/>
      <family val="1"/>
    </font>
    <font>
      <b/>
      <sz val="12"/>
      <name val="Times New Roman"/>
      <family val="1"/>
    </font>
    <font>
      <sz val="12"/>
      <name val="TimesNewRomanPSMT"/>
    </font>
    <font>
      <sz val="10"/>
      <name val="Arial"/>
      <family val="2"/>
    </font>
    <font>
      <sz val="14"/>
      <name val="TimesNewRomanPSMT"/>
    </font>
    <font>
      <sz val="11"/>
      <color theme="1"/>
      <name val="Calibri"/>
      <family val="2"/>
      <scheme val="minor"/>
    </font>
    <font>
      <b/>
      <sz val="12"/>
      <color rgb="FF000000"/>
      <name val="Times New Roman"/>
      <family val="1"/>
    </font>
    <font>
      <sz val="12"/>
      <color rgb="FF000000"/>
      <name val="Times New Roman"/>
      <family val="1"/>
    </font>
    <font>
      <b/>
      <sz val="15"/>
      <name val="Arial"/>
      <family val="2"/>
    </font>
  </fonts>
  <fills count="13">
    <fill>
      <patternFill patternType="none"/>
    </fill>
    <fill>
      <patternFill patternType="gray125"/>
    </fill>
    <fill>
      <patternFill patternType="solid">
        <fgColor indexed="8"/>
        <bgColor indexed="58"/>
      </patternFill>
    </fill>
    <fill>
      <patternFill patternType="solid">
        <fgColor indexed="23"/>
        <bgColor indexed="54"/>
      </patternFill>
    </fill>
    <fill>
      <patternFill patternType="solid">
        <fgColor indexed="31"/>
        <bgColor indexed="22"/>
      </patternFill>
    </fill>
    <fill>
      <patternFill patternType="solid">
        <fgColor indexed="47"/>
        <bgColor indexed="31"/>
      </patternFill>
    </fill>
    <fill>
      <patternFill patternType="solid">
        <fgColor indexed="10"/>
        <bgColor indexed="16"/>
      </patternFill>
    </fill>
    <fill>
      <patternFill patternType="solid">
        <fgColor indexed="42"/>
        <bgColor indexed="41"/>
      </patternFill>
    </fill>
    <fill>
      <patternFill patternType="solid">
        <fgColor indexed="26"/>
        <bgColor indexed="9"/>
      </patternFill>
    </fill>
    <fill>
      <patternFill patternType="solid">
        <fgColor indexed="22"/>
        <bgColor indexed="31"/>
      </patternFill>
    </fill>
    <fill>
      <patternFill patternType="solid">
        <fgColor rgb="FFCCCCCC"/>
        <bgColor rgb="FFCCCCCC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indexed="64"/>
      </patternFill>
    </fill>
  </fills>
  <borders count="14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</borders>
  <cellStyleXfs count="29">
    <xf numFmtId="0" fontId="0" fillId="0" borderId="0"/>
    <xf numFmtId="0" fontId="2" fillId="0" borderId="0" applyNumberFormat="0" applyFill="0" applyBorder="0" applyAlignment="0" applyProtection="0"/>
    <xf numFmtId="0" fontId="8" fillId="2" borderId="0" applyNumberFormat="0" applyBorder="0" applyAlignment="0" applyProtection="0"/>
    <xf numFmtId="0" fontId="8" fillId="3" borderId="0" applyNumberFormat="0" applyBorder="0" applyAlignment="0" applyProtection="0"/>
    <xf numFmtId="0" fontId="2" fillId="4" borderId="0" applyNumberFormat="0" applyBorder="0" applyAlignment="0" applyProtection="0"/>
    <xf numFmtId="0" fontId="7" fillId="5" borderId="0" applyNumberFormat="0" applyBorder="0" applyAlignment="0" applyProtection="0"/>
    <xf numFmtId="0" fontId="8" fillId="6" borderId="0" applyNumberFormat="0" applyBorder="0" applyAlignment="0" applyProtection="0"/>
    <xf numFmtId="0" fontId="4" fillId="0" borderId="0" applyNumberFormat="0" applyFill="0" applyBorder="0" applyAlignment="0" applyProtection="0"/>
    <xf numFmtId="0" fontId="5" fillId="7" borderId="0" applyNumberFormat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44" fontId="12" fillId="0" borderId="0" applyFont="0" applyFill="0" applyBorder="0" applyAlignment="0" applyProtection="0"/>
    <xf numFmtId="44" fontId="14" fillId="0" borderId="0" applyFont="0" applyFill="0" applyBorder="0" applyAlignment="0" applyProtection="0"/>
    <xf numFmtId="0" fontId="6" fillId="8" borderId="0" applyNumberFormat="0" applyBorder="0" applyAlignment="0" applyProtection="0"/>
    <xf numFmtId="0" fontId="12" fillId="0" borderId="0"/>
    <xf numFmtId="0" fontId="14" fillId="0" borderId="0"/>
    <xf numFmtId="0" fontId="3" fillId="8" borderId="1" applyNumberFormat="0" applyAlignment="0" applyProtection="0"/>
    <xf numFmtId="9" fontId="14" fillId="0" borderId="0" applyFon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164" fontId="12" fillId="0" borderId="0" applyFill="0" applyBorder="0" applyAlignment="0" applyProtection="0"/>
    <xf numFmtId="43" fontId="14" fillId="0" borderId="0" applyFont="0" applyFill="0" applyBorder="0" applyAlignment="0" applyProtection="0"/>
    <xf numFmtId="0" fontId="7" fillId="0" borderId="0" applyNumberFormat="0" applyFill="0" applyBorder="0" applyAlignment="0" applyProtection="0"/>
    <xf numFmtId="9" fontId="12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76">
    <xf numFmtId="0" fontId="0" fillId="0" borderId="0" xfId="0"/>
    <xf numFmtId="0" fontId="9" fillId="0" borderId="0" xfId="0" applyFont="1"/>
    <xf numFmtId="0" fontId="10" fillId="0" borderId="0" xfId="0" applyFont="1"/>
    <xf numFmtId="0" fontId="15" fillId="0" borderId="6" xfId="0" applyFont="1" applyBorder="1" applyAlignment="1">
      <alignment horizontal="center" vertical="center" wrapText="1"/>
    </xf>
    <xf numFmtId="0" fontId="16" fillId="0" borderId="6" xfId="0" applyFont="1" applyBorder="1" applyAlignment="1">
      <alignment wrapText="1"/>
    </xf>
    <xf numFmtId="3" fontId="16" fillId="0" borderId="6" xfId="21" applyNumberFormat="1" applyFont="1" applyBorder="1" applyAlignment="1">
      <alignment horizontal="center" vertical="center" wrapText="1"/>
    </xf>
    <xf numFmtId="4" fontId="16" fillId="0" borderId="6" xfId="21" applyNumberFormat="1" applyFont="1" applyBorder="1" applyAlignment="1">
      <alignment horizontal="center" vertical="center" wrapText="1"/>
    </xf>
    <xf numFmtId="2" fontId="16" fillId="0" borderId="6" xfId="21" applyNumberFormat="1" applyFont="1" applyBorder="1" applyAlignment="1">
      <alignment horizontal="center" vertical="center" wrapText="1"/>
    </xf>
    <xf numFmtId="2" fontId="15" fillId="10" borderId="6" xfId="0" applyNumberFormat="1" applyFont="1" applyFill="1" applyBorder="1" applyAlignment="1">
      <alignment horizontal="center" vertical="center" wrapText="1"/>
    </xf>
    <xf numFmtId="0" fontId="16" fillId="0" borderId="0" xfId="0" applyFont="1" applyAlignment="1">
      <alignment wrapText="1"/>
    </xf>
    <xf numFmtId="0" fontId="15" fillId="0" borderId="0" xfId="0" applyFont="1" applyAlignment="1">
      <alignment horizontal="center" vertical="center" wrapText="1"/>
    </xf>
    <xf numFmtId="0" fontId="10" fillId="0" borderId="0" xfId="0" applyFont="1" applyAlignment="1">
      <alignment horizontal="center"/>
    </xf>
    <xf numFmtId="10" fontId="10" fillId="0" borderId="0" xfId="0" applyNumberFormat="1" applyFont="1" applyAlignment="1">
      <alignment horizontal="center"/>
    </xf>
    <xf numFmtId="4" fontId="10" fillId="0" borderId="0" xfId="0" applyNumberFormat="1" applyFont="1"/>
    <xf numFmtId="0" fontId="15" fillId="10" borderId="7" xfId="0" applyFont="1" applyFill="1" applyBorder="1" applyAlignment="1">
      <alignment horizontal="left" vertical="center" wrapText="1"/>
    </xf>
    <xf numFmtId="4" fontId="15" fillId="10" borderId="8" xfId="0" applyNumberFormat="1" applyFont="1" applyFill="1" applyBorder="1" applyAlignment="1">
      <alignment horizontal="center" vertical="center" wrapText="1"/>
    </xf>
    <xf numFmtId="0" fontId="15" fillId="10" borderId="9" xfId="0" applyFont="1" applyFill="1" applyBorder="1" applyAlignment="1">
      <alignment horizontal="center" vertical="center" wrapText="1"/>
    </xf>
    <xf numFmtId="0" fontId="16" fillId="10" borderId="7" xfId="0" applyFont="1" applyFill="1" applyBorder="1" applyAlignment="1">
      <alignment horizontal="left" vertical="center" wrapText="1"/>
    </xf>
    <xf numFmtId="0" fontId="16" fillId="10" borderId="9" xfId="0" applyFont="1" applyFill="1" applyBorder="1" applyAlignment="1">
      <alignment horizontal="center" vertical="center" wrapText="1"/>
    </xf>
    <xf numFmtId="4" fontId="16" fillId="10" borderId="8" xfId="0" applyNumberFormat="1" applyFont="1" applyFill="1" applyBorder="1" applyAlignment="1">
      <alignment horizontal="center" vertical="center" wrapText="1"/>
    </xf>
    <xf numFmtId="4" fontId="16" fillId="10" borderId="6" xfId="0" applyNumberFormat="1" applyFont="1" applyFill="1" applyBorder="1" applyAlignment="1">
      <alignment horizontal="center" vertical="center" wrapText="1"/>
    </xf>
    <xf numFmtId="2" fontId="16" fillId="10" borderId="6" xfId="0" applyNumberFormat="1" applyFont="1" applyFill="1" applyBorder="1" applyAlignment="1">
      <alignment horizontal="center" vertical="center" wrapText="1"/>
    </xf>
    <xf numFmtId="0" fontId="15" fillId="10" borderId="0" xfId="0" applyFont="1" applyFill="1" applyAlignment="1">
      <alignment horizontal="center" vertical="center" wrapText="1"/>
    </xf>
    <xf numFmtId="3" fontId="16" fillId="0" borderId="6" xfId="21" applyNumberFormat="1" applyFont="1" applyFill="1" applyBorder="1" applyAlignment="1">
      <alignment horizontal="center" vertical="center" wrapText="1"/>
    </xf>
    <xf numFmtId="4" fontId="16" fillId="0" borderId="6" xfId="21" applyNumberFormat="1" applyFont="1" applyFill="1" applyBorder="1" applyAlignment="1">
      <alignment horizontal="center" vertical="center" wrapText="1"/>
    </xf>
    <xf numFmtId="2" fontId="16" fillId="0" borderId="6" xfId="21" applyNumberFormat="1" applyFont="1" applyFill="1" applyBorder="1" applyAlignment="1">
      <alignment horizontal="center" vertical="center" wrapText="1"/>
    </xf>
    <xf numFmtId="0" fontId="9" fillId="0" borderId="2" xfId="0" applyFont="1" applyBorder="1" applyAlignment="1">
      <alignment horizontal="center"/>
    </xf>
    <xf numFmtId="0" fontId="9" fillId="0" borderId="2" xfId="0" applyFont="1" applyBorder="1"/>
    <xf numFmtId="0" fontId="10" fillId="9" borderId="2" xfId="0" applyFont="1" applyFill="1" applyBorder="1" applyAlignment="1">
      <alignment horizontal="center"/>
    </xf>
    <xf numFmtId="0" fontId="10" fillId="9" borderId="2" xfId="0" applyFont="1" applyFill="1" applyBorder="1"/>
    <xf numFmtId="4" fontId="9" fillId="0" borderId="2" xfId="0" applyNumberFormat="1" applyFont="1" applyBorder="1"/>
    <xf numFmtId="4" fontId="10" fillId="9" borderId="2" xfId="0" applyNumberFormat="1" applyFont="1" applyFill="1" applyBorder="1"/>
    <xf numFmtId="10" fontId="9" fillId="0" borderId="2" xfId="0" applyNumberFormat="1" applyFont="1" applyBorder="1"/>
    <xf numFmtId="10" fontId="10" fillId="9" borderId="2" xfId="0" applyNumberFormat="1" applyFont="1" applyFill="1" applyBorder="1"/>
    <xf numFmtId="10" fontId="10" fillId="9" borderId="2" xfId="0" applyNumberFormat="1" applyFont="1" applyFill="1" applyBorder="1" applyAlignment="1">
      <alignment horizontal="center"/>
    </xf>
    <xf numFmtId="0" fontId="9" fillId="9" borderId="2" xfId="0" applyFont="1" applyFill="1" applyBorder="1"/>
    <xf numFmtId="0" fontId="9" fillId="0" borderId="2" xfId="0" applyFont="1" applyBorder="1" applyAlignment="1">
      <alignment horizontal="center" vertical="top"/>
    </xf>
    <xf numFmtId="0" fontId="9" fillId="0" borderId="2" xfId="0" applyFont="1" applyBorder="1" applyAlignment="1">
      <alignment vertical="top" wrapText="1"/>
    </xf>
    <xf numFmtId="0" fontId="11" fillId="0" borderId="0" xfId="0" applyFont="1" applyAlignment="1">
      <alignment vertical="center"/>
    </xf>
    <xf numFmtId="44" fontId="10" fillId="9" borderId="2" xfId="12" applyFont="1" applyFill="1" applyBorder="1"/>
    <xf numFmtId="44" fontId="15" fillId="10" borderId="6" xfId="12" applyFont="1" applyFill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/>
    </xf>
    <xf numFmtId="0" fontId="13" fillId="0" borderId="2" xfId="0" applyFont="1" applyBorder="1" applyAlignment="1">
      <alignment horizontal="left" vertical="center" wrapText="1"/>
    </xf>
    <xf numFmtId="166" fontId="9" fillId="0" borderId="2" xfId="0" applyNumberFormat="1" applyFont="1" applyBorder="1" applyAlignment="1">
      <alignment vertical="center"/>
    </xf>
    <xf numFmtId="44" fontId="9" fillId="0" borderId="2" xfId="12" applyFont="1" applyFill="1" applyBorder="1" applyAlignment="1">
      <alignment vertical="center"/>
    </xf>
    <xf numFmtId="0" fontId="10" fillId="11" borderId="2" xfId="0" applyFont="1" applyFill="1" applyBorder="1" applyAlignment="1">
      <alignment horizontal="center"/>
    </xf>
    <xf numFmtId="0" fontId="10" fillId="11" borderId="2" xfId="0" applyFont="1" applyFill="1" applyBorder="1"/>
    <xf numFmtId="44" fontId="10" fillId="11" borderId="2" xfId="12" applyFont="1" applyFill="1" applyBorder="1"/>
    <xf numFmtId="0" fontId="10" fillId="11" borderId="13" xfId="0" applyFont="1" applyFill="1" applyBorder="1" applyAlignment="1">
      <alignment vertical="center" wrapText="1"/>
    </xf>
    <xf numFmtId="0" fontId="10" fillId="11" borderId="13" xfId="0" applyFont="1" applyFill="1" applyBorder="1" applyAlignment="1">
      <alignment horizontal="center" vertical="center" wrapText="1"/>
    </xf>
    <xf numFmtId="0" fontId="9" fillId="0" borderId="2" xfId="0" applyFont="1" applyBorder="1" applyAlignment="1" applyProtection="1">
      <alignment horizontal="center"/>
      <protection locked="0"/>
    </xf>
    <xf numFmtId="4" fontId="9" fillId="0" borderId="2" xfId="0" applyNumberFormat="1" applyFont="1" applyBorder="1" applyAlignment="1" applyProtection="1">
      <alignment horizontal="center"/>
      <protection locked="0"/>
    </xf>
    <xf numFmtId="4" fontId="9" fillId="0" borderId="2" xfId="0" applyNumberFormat="1" applyFont="1" applyBorder="1" applyAlignment="1" applyProtection="1">
      <alignment horizontal="right"/>
      <protection locked="0"/>
    </xf>
    <xf numFmtId="4" fontId="9" fillId="0" borderId="2" xfId="0" applyNumberFormat="1" applyFont="1" applyBorder="1" applyProtection="1">
      <protection locked="0"/>
    </xf>
    <xf numFmtId="10" fontId="9" fillId="0" borderId="2" xfId="0" applyNumberFormat="1" applyFont="1" applyBorder="1" applyProtection="1">
      <protection locked="0"/>
    </xf>
    <xf numFmtId="10" fontId="9" fillId="0" borderId="2" xfId="0" applyNumberFormat="1" applyFont="1" applyBorder="1" applyAlignment="1" applyProtection="1">
      <alignment horizontal="center"/>
      <protection locked="0"/>
    </xf>
    <xf numFmtId="165" fontId="9" fillId="0" borderId="2" xfId="0" applyNumberFormat="1" applyFont="1" applyBorder="1" applyAlignment="1" applyProtection="1">
      <alignment horizontal="center"/>
      <protection locked="0"/>
    </xf>
    <xf numFmtId="10" fontId="9" fillId="0" borderId="2" xfId="0" applyNumberFormat="1" applyFont="1" applyBorder="1" applyAlignment="1" applyProtection="1">
      <alignment horizontal="center" vertical="top"/>
      <protection locked="0"/>
    </xf>
    <xf numFmtId="9" fontId="9" fillId="0" borderId="2" xfId="24" applyFont="1" applyBorder="1" applyAlignment="1">
      <alignment horizontal="center"/>
    </xf>
    <xf numFmtId="0" fontId="9" fillId="0" borderId="2" xfId="0" applyFont="1" applyBorder="1" applyProtection="1">
      <protection locked="0"/>
    </xf>
    <xf numFmtId="43" fontId="9" fillId="0" borderId="2" xfId="0" applyNumberFormat="1" applyFont="1" applyBorder="1" applyProtection="1">
      <protection locked="0"/>
    </xf>
    <xf numFmtId="4" fontId="16" fillId="0" borderId="6" xfId="21" applyNumberFormat="1" applyFont="1" applyFill="1" applyBorder="1" applyAlignment="1" applyProtection="1">
      <alignment horizontal="center" vertical="center" wrapText="1"/>
      <protection locked="0"/>
    </xf>
    <xf numFmtId="0" fontId="16" fillId="0" borderId="6" xfId="0" applyFont="1" applyBorder="1" applyAlignment="1" applyProtection="1">
      <alignment horizontal="center" vertical="center" wrapText="1"/>
      <protection locked="0"/>
    </xf>
    <xf numFmtId="44" fontId="10" fillId="0" borderId="0" xfId="0" applyNumberFormat="1" applyFont="1"/>
    <xf numFmtId="0" fontId="0" fillId="12" borderId="0" xfId="0" applyFill="1"/>
    <xf numFmtId="0" fontId="17" fillId="11" borderId="10" xfId="0" applyFont="1" applyFill="1" applyBorder="1" applyAlignment="1">
      <alignment horizontal="center" vertical="center"/>
    </xf>
    <xf numFmtId="0" fontId="10" fillId="11" borderId="11" xfId="0" applyFont="1" applyFill="1" applyBorder="1" applyAlignment="1">
      <alignment horizontal="center" vertical="center" wrapText="1"/>
    </xf>
    <xf numFmtId="0" fontId="10" fillId="11" borderId="12" xfId="0" applyFont="1" applyFill="1" applyBorder="1" applyAlignment="1">
      <alignment horizontal="center" vertical="center" wrapText="1"/>
    </xf>
    <xf numFmtId="0" fontId="10" fillId="11" borderId="2" xfId="0" applyFont="1" applyFill="1" applyBorder="1" applyAlignment="1">
      <alignment horizontal="center" vertical="center"/>
    </xf>
    <xf numFmtId="0" fontId="10" fillId="11" borderId="3" xfId="0" applyFont="1" applyFill="1" applyBorder="1" applyAlignment="1">
      <alignment horizontal="left" vertical="center"/>
    </xf>
    <xf numFmtId="0" fontId="10" fillId="11" borderId="5" xfId="0" applyFont="1" applyFill="1" applyBorder="1" applyAlignment="1">
      <alignment horizontal="left" vertical="center"/>
    </xf>
    <xf numFmtId="0" fontId="10" fillId="11" borderId="4" xfId="0" applyFont="1" applyFill="1" applyBorder="1" applyAlignment="1">
      <alignment horizontal="left" vertical="center"/>
    </xf>
    <xf numFmtId="0" fontId="9" fillId="0" borderId="2" xfId="0" applyFont="1" applyBorder="1" applyAlignment="1">
      <alignment horizontal="left" vertical="center"/>
    </xf>
    <xf numFmtId="0" fontId="10" fillId="0" borderId="0" xfId="0" applyFont="1" applyAlignment="1">
      <alignment horizontal="center" vertical="center"/>
    </xf>
    <xf numFmtId="0" fontId="15" fillId="0" borderId="0" xfId="0" applyFont="1" applyAlignment="1">
      <alignment horizontal="center" vertical="center" wrapText="1"/>
    </xf>
    <xf numFmtId="0" fontId="15" fillId="10" borderId="6" xfId="0" applyFont="1" applyFill="1" applyBorder="1" applyAlignment="1">
      <alignment horizontal="center" vertical="center" wrapText="1"/>
    </xf>
  </cellXfs>
  <cellStyles count="29">
    <cellStyle name="Accent" xfId="1" xr:uid="{00000000-0005-0000-0000-000000000000}"/>
    <cellStyle name="Accent 1" xfId="2" xr:uid="{00000000-0005-0000-0000-000001000000}"/>
    <cellStyle name="Accent 2" xfId="3" xr:uid="{00000000-0005-0000-0000-000002000000}"/>
    <cellStyle name="Accent 3" xfId="4" xr:uid="{00000000-0005-0000-0000-000003000000}"/>
    <cellStyle name="Bad" xfId="5" xr:uid="{00000000-0005-0000-0000-000004000000}"/>
    <cellStyle name="Error" xfId="6" xr:uid="{00000000-0005-0000-0000-000005000000}"/>
    <cellStyle name="Footnote" xfId="7" xr:uid="{00000000-0005-0000-0000-000006000000}"/>
    <cellStyle name="Good" xfId="8" xr:uid="{00000000-0005-0000-0000-000007000000}"/>
    <cellStyle name="Heading" xfId="9" xr:uid="{00000000-0005-0000-0000-000008000000}"/>
    <cellStyle name="Heading 1" xfId="10" xr:uid="{00000000-0005-0000-0000-000009000000}"/>
    <cellStyle name="Heading 2" xfId="11" xr:uid="{00000000-0005-0000-0000-00000A000000}"/>
    <cellStyle name="Moeda" xfId="12" builtinId="4"/>
    <cellStyle name="Moeda 2" xfId="13" xr:uid="{00000000-0005-0000-0000-00000C000000}"/>
    <cellStyle name="Moeda 2 2" xfId="25" xr:uid="{08F3105E-9AAD-4721-A032-6A1507606927}"/>
    <cellStyle name="Neutral" xfId="14" xr:uid="{00000000-0005-0000-0000-00000D000000}"/>
    <cellStyle name="Normal" xfId="0" builtinId="0"/>
    <cellStyle name="Normal 2" xfId="15" xr:uid="{00000000-0005-0000-0000-00000F000000}"/>
    <cellStyle name="Normal 4" xfId="16" xr:uid="{00000000-0005-0000-0000-000010000000}"/>
    <cellStyle name="Normal 4 2" xfId="26" xr:uid="{0F583AE2-E129-44B5-9D6D-811C505A1D01}"/>
    <cellStyle name="Note" xfId="17" xr:uid="{00000000-0005-0000-0000-000011000000}"/>
    <cellStyle name="Porcentagem" xfId="24" builtinId="5"/>
    <cellStyle name="Porcentagem 3" xfId="18" xr:uid="{00000000-0005-0000-0000-000012000000}"/>
    <cellStyle name="Porcentagem 3 2" xfId="27" xr:uid="{5D1B3B0A-78BF-4211-8392-1EA456999D0A}"/>
    <cellStyle name="Status" xfId="19" xr:uid="{00000000-0005-0000-0000-000013000000}"/>
    <cellStyle name="Text" xfId="20" xr:uid="{00000000-0005-0000-0000-000014000000}"/>
    <cellStyle name="Vírgula 2" xfId="21" xr:uid="{00000000-0005-0000-0000-000015000000}"/>
    <cellStyle name="Vírgula 3" xfId="22" xr:uid="{00000000-0005-0000-0000-000016000000}"/>
    <cellStyle name="Vírgula 3 2" xfId="28" xr:uid="{97CCC576-08FF-4E72-9065-AC80AE4E2B81}"/>
    <cellStyle name="Warning" xfId="23" xr:uid="{00000000-0005-0000-0000-000017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C0000"/>
      <rgbColor rgb="0000FF00"/>
      <rgbColor rgb="000000FF"/>
      <rgbColor rgb="00FFFF00"/>
      <rgbColor rgb="00FF00FF"/>
      <rgbColor rgb="0000FFFF"/>
      <rgbColor rgb="00800000"/>
      <rgbColor rgb="00006600"/>
      <rgbColor rgb="00000080"/>
      <rgbColor rgb="00996600"/>
      <rgbColor rgb="00800080"/>
      <rgbColor rgb="00008080"/>
      <rgbColor rgb="00CCCCCC"/>
      <rgbColor rgb="00808080"/>
      <rgbColor rgb="009999FF"/>
      <rgbColor rgb="00993366"/>
      <rgbColor rgb="00FFFFCC"/>
      <rgbColor rgb="00EEEEEE"/>
      <rgbColor rgb="00660066"/>
      <rgbColor rgb="00FF8080"/>
      <rgbColor rgb="000066CC"/>
      <rgbColor rgb="00DDDDDD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CC"/>
      <rgbColor rgb="003366FF"/>
      <rgbColor rgb="0033CCCC"/>
      <rgbColor rgb="0099CC00"/>
      <rgbColor rgb="00FFCC00"/>
      <rgbColor rgb="00FF9900"/>
      <rgbColor rgb="00FF6600"/>
      <rgbColor rgb="00666699"/>
      <rgbColor rgb="00B2B2B2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Backup%2005.09.2022/Unidade%20de%20USB/Oseias%2011.06/OSEIAS/Termo%20de%20referencia/Limpeza%20e%20conserva&#231;&#227;o/2023/Manuais,%20cadernos%20e%20modelo%20planilha/MODELO-PLANILHA-PADRAO-MODULOS-IN-5-2017-ALTERADA-PELA-IN-7-2018-LIMPEZA.xlsx" TargetMode="External"/><Relationship Id="rId1" Type="http://schemas.openxmlformats.org/officeDocument/2006/relationships/externalLinkPath" Target="/Backup%2005.09.2022/Unidade%20de%20USB/Oseias%2011.06/OSEIAS/Termo%20de%20referencia/Limpeza%20e%20conserva&#231;&#227;o/2023/Manuais,%20cadernos%20e%20modelo%20planilha/MODELO-PLANILHA-PADRAO-MODULOS-IN-5-2017-ALTERADA-PELA-IN-7-2018-LIMPEZA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INSERÇÃO-DE-DADOS"/>
      <sheetName val="DADOS-ESTATISTICOS"/>
      <sheetName val="ENCARGOS-SOCIAIS-E-TRABALHISTAS"/>
      <sheetName val="ENCARREGADOS"/>
      <sheetName val="SERVENTES"/>
      <sheetName val="SERVENTES-AREA-HOSP"/>
      <sheetName val="CUSTOS POR M²"/>
      <sheetName val="QUADRO-RESUMO"/>
      <sheetName val="LIMITES-SEGES-PORT-7-2015"/>
      <sheetName val="LIMITES-SEGES-PORT-213-2017"/>
      <sheetName val="QTDE-ESTIMADA-SERVENTES"/>
    </sheetNames>
    <sheetDataSet>
      <sheetData sheetId="0"/>
      <sheetData sheetId="1">
        <row r="8">
          <cell r="F8">
            <v>12</v>
          </cell>
        </row>
        <row r="24">
          <cell r="F24">
            <v>30</v>
          </cell>
        </row>
        <row r="29">
          <cell r="F29">
            <v>8</v>
          </cell>
        </row>
        <row r="30">
          <cell r="F30">
            <v>20</v>
          </cell>
        </row>
        <row r="31">
          <cell r="F31">
            <v>1.42</v>
          </cell>
        </row>
        <row r="32">
          <cell r="F32">
            <v>45.22</v>
          </cell>
        </row>
        <row r="33">
          <cell r="F33">
            <v>0.44</v>
          </cell>
        </row>
        <row r="34">
          <cell r="F34">
            <v>15</v>
          </cell>
        </row>
        <row r="35">
          <cell r="F35">
            <v>180</v>
          </cell>
        </row>
        <row r="36">
          <cell r="F36">
            <v>54.78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7"/>
  <sheetViews>
    <sheetView tabSelected="1" zoomScaleNormal="100" workbookViewId="0">
      <selection activeCell="G7" sqref="G7"/>
    </sheetView>
  </sheetViews>
  <sheetFormatPr defaultRowHeight="12.75"/>
  <cols>
    <col min="1" max="1" width="5.42578125" customWidth="1"/>
    <col min="2" max="2" width="26.42578125" customWidth="1"/>
    <col min="3" max="3" width="16.28515625" customWidth="1"/>
    <col min="4" max="4" width="12.5703125" customWidth="1"/>
    <col min="5" max="5" width="15.140625" bestFit="1" customWidth="1"/>
    <col min="6" max="6" width="12.5703125" customWidth="1"/>
    <col min="7" max="7" width="16.28515625" bestFit="1" customWidth="1"/>
  </cols>
  <sheetData>
    <row r="1" spans="1:7" ht="19.5">
      <c r="A1" s="65" t="s">
        <v>147</v>
      </c>
      <c r="B1" s="65"/>
      <c r="C1" s="65"/>
      <c r="D1" s="65"/>
      <c r="E1" s="65"/>
      <c r="F1" s="65"/>
      <c r="G1" s="65"/>
    </row>
    <row r="2" spans="1:7" ht="47.25">
      <c r="A2" s="66" t="s">
        <v>136</v>
      </c>
      <c r="B2" s="67"/>
      <c r="C2" s="48" t="s">
        <v>137</v>
      </c>
      <c r="D2" s="49" t="s">
        <v>138</v>
      </c>
      <c r="E2" s="49" t="s">
        <v>139</v>
      </c>
      <c r="F2" s="49" t="s">
        <v>140</v>
      </c>
      <c r="G2" s="48" t="s">
        <v>141</v>
      </c>
    </row>
    <row r="3" spans="1:7" ht="15.75">
      <c r="A3" s="68" t="s">
        <v>0</v>
      </c>
      <c r="B3" s="68"/>
      <c r="C3" s="45" t="s">
        <v>1</v>
      </c>
      <c r="D3" s="45" t="s">
        <v>5</v>
      </c>
      <c r="E3" s="45" t="s">
        <v>2</v>
      </c>
      <c r="F3" s="45" t="s">
        <v>3</v>
      </c>
      <c r="G3" s="46" t="s">
        <v>4</v>
      </c>
    </row>
    <row r="4" spans="1:7" ht="37.5">
      <c r="A4" s="41">
        <v>1</v>
      </c>
      <c r="B4" s="42" t="s">
        <v>135</v>
      </c>
      <c r="C4" s="43">
        <f>'12 x 36 Noturno'!D122</f>
        <v>9305.73</v>
      </c>
      <c r="D4" s="41">
        <v>2</v>
      </c>
      <c r="E4" s="44">
        <f>TRUNC('12 x 36 Noturno'!D123,2)</f>
        <v>18611.46</v>
      </c>
      <c r="F4" s="41">
        <v>1</v>
      </c>
      <c r="G4" s="44">
        <f>TRUNC(E4*F4,2)</f>
        <v>18611.46</v>
      </c>
    </row>
    <row r="5" spans="1:7" ht="37.5">
      <c r="A5" s="41">
        <v>2</v>
      </c>
      <c r="B5" s="42" t="s">
        <v>145</v>
      </c>
      <c r="C5" s="43">
        <f>'12X 36 Diurno'!D122</f>
        <v>8609.19</v>
      </c>
      <c r="D5" s="41">
        <v>2</v>
      </c>
      <c r="E5" s="44">
        <f>TRUNC('12X 36 Diurno'!D123,2)</f>
        <v>17218.38</v>
      </c>
      <c r="F5" s="41">
        <v>1</v>
      </c>
      <c r="G5" s="44">
        <f>TRUNC(E5*F5,2)</f>
        <v>17218.38</v>
      </c>
    </row>
    <row r="6" spans="1:7" ht="15.75">
      <c r="A6" s="69" t="s">
        <v>115</v>
      </c>
      <c r="B6" s="70"/>
      <c r="C6" s="70"/>
      <c r="D6" s="70"/>
      <c r="E6" s="70"/>
      <c r="F6" s="71"/>
      <c r="G6" s="47">
        <f>SUM(G4:G5)</f>
        <v>35829.839999999997</v>
      </c>
    </row>
    <row r="7" spans="1:7" ht="15.75">
      <c r="A7" s="69" t="s">
        <v>142</v>
      </c>
      <c r="B7" s="70"/>
      <c r="C7" s="70"/>
      <c r="D7" s="70"/>
      <c r="E7" s="70"/>
      <c r="F7" s="71"/>
      <c r="G7" s="47">
        <f>ROUNDUP(G6*12,1)</f>
        <v>429958.1</v>
      </c>
    </row>
  </sheetData>
  <sheetProtection selectLockedCells="1" selectUnlockedCells="1"/>
  <mergeCells count="5">
    <mergeCell ref="A1:G1"/>
    <mergeCell ref="A2:B2"/>
    <mergeCell ref="A3:B3"/>
    <mergeCell ref="A6:F6"/>
    <mergeCell ref="A7:F7"/>
  </mergeCells>
  <pageMargins left="0.70866141732283472" right="0.51181102362204722" top="0.78740157480314965" bottom="0.78740157480314965" header="0.31496062992125984" footer="0.31496062992125984"/>
  <pageSetup paperSize="9" scale="77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12C924-F22F-48AE-AFEB-8BE5E151AB63}">
  <sheetPr>
    <tabColor theme="0" tint="-0.14999847407452621"/>
  </sheetPr>
  <dimension ref="A1:D123"/>
  <sheetViews>
    <sheetView view="pageBreakPreview" topLeftCell="A102" zoomScaleNormal="100" zoomScaleSheetLayoutView="100" workbookViewId="0">
      <selection activeCell="B132" sqref="B132"/>
    </sheetView>
  </sheetViews>
  <sheetFormatPr defaultColWidth="11.5703125" defaultRowHeight="15.75"/>
  <cols>
    <col min="1" max="1" width="8.85546875" style="1" customWidth="1"/>
    <col min="2" max="2" width="73.42578125" style="1" customWidth="1"/>
    <col min="3" max="3" width="17.5703125" style="1" customWidth="1"/>
    <col min="4" max="4" width="34.42578125" style="1" customWidth="1"/>
    <col min="5" max="16384" width="11.5703125" style="1"/>
  </cols>
  <sheetData>
    <row r="1" spans="1:4">
      <c r="A1" s="73" t="s">
        <v>6</v>
      </c>
      <c r="B1" s="73"/>
      <c r="C1" s="73"/>
      <c r="D1" s="73"/>
    </row>
    <row r="4" spans="1:4">
      <c r="A4" s="2" t="s">
        <v>7</v>
      </c>
    </row>
    <row r="5" spans="1:4">
      <c r="A5" s="38" t="s">
        <v>166</v>
      </c>
    </row>
    <row r="6" spans="1:4">
      <c r="A6" s="2" t="s">
        <v>8</v>
      </c>
    </row>
    <row r="7" spans="1:4">
      <c r="A7" s="2" t="s">
        <v>9</v>
      </c>
    </row>
    <row r="8" spans="1:4">
      <c r="A8" s="1" t="s">
        <v>10</v>
      </c>
    </row>
    <row r="9" spans="1:4">
      <c r="A9" s="1" t="s">
        <v>11</v>
      </c>
    </row>
    <row r="10" spans="1:4">
      <c r="A10" s="26">
        <v>1</v>
      </c>
      <c r="B10" s="72" t="s">
        <v>12</v>
      </c>
      <c r="C10" s="72"/>
      <c r="D10" s="27"/>
    </row>
    <row r="11" spans="1:4">
      <c r="A11" s="26">
        <v>2</v>
      </c>
      <c r="B11" s="72" t="s">
        <v>13</v>
      </c>
      <c r="C11" s="72"/>
      <c r="D11" s="50" t="s">
        <v>104</v>
      </c>
    </row>
    <row r="12" spans="1:4">
      <c r="A12" s="26">
        <v>3</v>
      </c>
      <c r="B12" s="72" t="s">
        <v>14</v>
      </c>
      <c r="C12" s="72"/>
      <c r="D12" s="51">
        <v>2536</v>
      </c>
    </row>
    <row r="13" spans="1:4">
      <c r="A13" s="26">
        <v>4</v>
      </c>
      <c r="B13" s="72" t="s">
        <v>15</v>
      </c>
      <c r="C13" s="72"/>
      <c r="D13" s="50" t="s">
        <v>105</v>
      </c>
    </row>
    <row r="14" spans="1:4">
      <c r="A14" s="26">
        <v>5</v>
      </c>
      <c r="B14" s="72" t="s">
        <v>16</v>
      </c>
      <c r="C14" s="72"/>
      <c r="D14" s="50" t="s">
        <v>146</v>
      </c>
    </row>
    <row r="15" spans="1:4">
      <c r="A15" s="2"/>
    </row>
    <row r="16" spans="1:4">
      <c r="A16" s="2" t="s">
        <v>17</v>
      </c>
      <c r="B16" s="2"/>
      <c r="C16" s="2"/>
    </row>
    <row r="17" spans="1:4">
      <c r="A17" s="28">
        <v>1</v>
      </c>
      <c r="B17" s="29" t="s">
        <v>18</v>
      </c>
      <c r="C17" s="28"/>
      <c r="D17" s="28" t="s">
        <v>19</v>
      </c>
    </row>
    <row r="18" spans="1:4">
      <c r="A18" s="26" t="s">
        <v>20</v>
      </c>
      <c r="B18" s="27" t="s">
        <v>21</v>
      </c>
      <c r="C18" s="30"/>
      <c r="D18" s="52">
        <v>2536</v>
      </c>
    </row>
    <row r="19" spans="1:4">
      <c r="A19" s="26" t="s">
        <v>22</v>
      </c>
      <c r="B19" s="27" t="s">
        <v>23</v>
      </c>
      <c r="C19" s="30"/>
      <c r="D19" s="53">
        <f>D18*30%</f>
        <v>760.8</v>
      </c>
    </row>
    <row r="20" spans="1:4">
      <c r="A20" s="26" t="s">
        <v>24</v>
      </c>
      <c r="B20" s="27" t="s">
        <v>25</v>
      </c>
      <c r="C20" s="30"/>
      <c r="D20" s="53"/>
    </row>
    <row r="21" spans="1:4">
      <c r="A21" s="26" t="s">
        <v>26</v>
      </c>
      <c r="B21" s="27" t="s">
        <v>27</v>
      </c>
      <c r="C21" s="30"/>
      <c r="D21" s="53"/>
    </row>
    <row r="22" spans="1:4">
      <c r="A22" s="26" t="s">
        <v>28</v>
      </c>
      <c r="B22" s="27" t="s">
        <v>29</v>
      </c>
      <c r="C22" s="30"/>
      <c r="D22" s="53"/>
    </row>
    <row r="23" spans="1:4">
      <c r="A23" s="26" t="s">
        <v>30</v>
      </c>
      <c r="B23" s="27" t="s">
        <v>31</v>
      </c>
      <c r="C23" s="30"/>
      <c r="D23" s="53"/>
    </row>
    <row r="24" spans="1:4">
      <c r="A24" s="28"/>
      <c r="B24" s="28" t="s">
        <v>32</v>
      </c>
      <c r="C24" s="31"/>
      <c r="D24" s="31">
        <f>SUM(D18:D23)</f>
        <v>3296.8</v>
      </c>
    </row>
    <row r="26" spans="1:4">
      <c r="A26" s="2" t="s">
        <v>33</v>
      </c>
      <c r="B26" s="2"/>
      <c r="C26" s="2"/>
    </row>
    <row r="27" spans="1:4">
      <c r="A27" s="2" t="s">
        <v>143</v>
      </c>
      <c r="B27" s="2"/>
      <c r="C27" s="2"/>
    </row>
    <row r="28" spans="1:4">
      <c r="A28" s="28" t="s">
        <v>34</v>
      </c>
      <c r="B28" s="29" t="s">
        <v>35</v>
      </c>
      <c r="C28" s="28"/>
      <c r="D28" s="28" t="s">
        <v>19</v>
      </c>
    </row>
    <row r="29" spans="1:4">
      <c r="A29" s="26" t="s">
        <v>20</v>
      </c>
      <c r="B29" s="27" t="s">
        <v>36</v>
      </c>
      <c r="C29" s="54">
        <f>1/12</f>
        <v>8.3333333333333329E-2</v>
      </c>
      <c r="D29" s="53">
        <f>D24*C29</f>
        <v>274.73333333333335</v>
      </c>
    </row>
    <row r="30" spans="1:4">
      <c r="A30" s="26" t="s">
        <v>22</v>
      </c>
      <c r="B30" s="27" t="s">
        <v>117</v>
      </c>
      <c r="C30" s="54">
        <f>(1/3)/12</f>
        <v>2.7777777777777776E-2</v>
      </c>
      <c r="D30" s="53">
        <f>D24*C30</f>
        <v>91.577777777777783</v>
      </c>
    </row>
    <row r="31" spans="1:4">
      <c r="A31" s="28"/>
      <c r="B31" s="28" t="s">
        <v>32</v>
      </c>
      <c r="C31" s="33">
        <f>SUM(C29:C30)</f>
        <v>0.1111111111111111</v>
      </c>
      <c r="D31" s="31">
        <f>SUM(D29:D30)</f>
        <v>366.31111111111113</v>
      </c>
    </row>
    <row r="33" spans="1:4">
      <c r="A33" s="2" t="s">
        <v>37</v>
      </c>
      <c r="B33" s="2"/>
      <c r="C33" s="2"/>
      <c r="D33" s="2"/>
    </row>
    <row r="34" spans="1:4">
      <c r="A34" s="2" t="s">
        <v>38</v>
      </c>
      <c r="B34" s="2"/>
      <c r="C34" s="2"/>
      <c r="D34" s="2"/>
    </row>
    <row r="35" spans="1:4">
      <c r="A35" s="28" t="s">
        <v>39</v>
      </c>
      <c r="B35" s="29" t="s">
        <v>40</v>
      </c>
      <c r="C35" s="28" t="s">
        <v>41</v>
      </c>
      <c r="D35" s="28" t="s">
        <v>19</v>
      </c>
    </row>
    <row r="36" spans="1:4">
      <c r="A36" s="26" t="s">
        <v>20</v>
      </c>
      <c r="B36" s="27" t="s">
        <v>42</v>
      </c>
      <c r="C36" s="55">
        <v>0.2</v>
      </c>
      <c r="D36" s="53">
        <f>(D24+D31)*C36</f>
        <v>732.62222222222226</v>
      </c>
    </row>
    <row r="37" spans="1:4">
      <c r="A37" s="26" t="s">
        <v>22</v>
      </c>
      <c r="B37" s="27" t="s">
        <v>43</v>
      </c>
      <c r="C37" s="55">
        <v>2.5000000000000001E-2</v>
      </c>
      <c r="D37" s="53">
        <f>(D24+D31)*C37</f>
        <v>91.577777777777783</v>
      </c>
    </row>
    <row r="38" spans="1:4">
      <c r="A38" s="26" t="s">
        <v>24</v>
      </c>
      <c r="B38" s="27" t="s">
        <v>44</v>
      </c>
      <c r="C38" s="55">
        <v>0.03</v>
      </c>
      <c r="D38" s="53">
        <f>(D24+D31)*C38</f>
        <v>109.89333333333333</v>
      </c>
    </row>
    <row r="39" spans="1:4">
      <c r="A39" s="26" t="s">
        <v>26</v>
      </c>
      <c r="B39" s="27" t="s">
        <v>45</v>
      </c>
      <c r="C39" s="55">
        <v>1.4999999999999999E-2</v>
      </c>
      <c r="D39" s="53">
        <f>(D24+D31)*C39</f>
        <v>54.946666666666665</v>
      </c>
    </row>
    <row r="40" spans="1:4">
      <c r="A40" s="26" t="s">
        <v>28</v>
      </c>
      <c r="B40" s="27" t="s">
        <v>46</v>
      </c>
      <c r="C40" s="55">
        <v>0.01</v>
      </c>
      <c r="D40" s="53">
        <f>(D24+D31)*C40</f>
        <v>36.631111111111117</v>
      </c>
    </row>
    <row r="41" spans="1:4">
      <c r="A41" s="26" t="s">
        <v>30</v>
      </c>
      <c r="B41" s="27" t="s">
        <v>47</v>
      </c>
      <c r="C41" s="55">
        <v>6.0000000000000001E-3</v>
      </c>
      <c r="D41" s="53">
        <f>(D24+D31)*C41</f>
        <v>21.978666666666669</v>
      </c>
    </row>
    <row r="42" spans="1:4">
      <c r="A42" s="26" t="s">
        <v>48</v>
      </c>
      <c r="B42" s="27" t="s">
        <v>49</v>
      </c>
      <c r="C42" s="55">
        <v>2E-3</v>
      </c>
      <c r="D42" s="53">
        <f>(D24+D31)*C42</f>
        <v>7.3262222222222224</v>
      </c>
    </row>
    <row r="43" spans="1:4">
      <c r="A43" s="26" t="s">
        <v>50</v>
      </c>
      <c r="B43" s="27" t="s">
        <v>51</v>
      </c>
      <c r="C43" s="55">
        <v>0.08</v>
      </c>
      <c r="D43" s="53">
        <f>(D24+D31)*C43</f>
        <v>293.04888888888894</v>
      </c>
    </row>
    <row r="44" spans="1:4">
      <c r="A44" s="29"/>
      <c r="B44" s="28" t="s">
        <v>32</v>
      </c>
      <c r="C44" s="34">
        <f>SUM(C36:C43)</f>
        <v>0.36800000000000005</v>
      </c>
      <c r="D44" s="31">
        <f>SUM(D36:D43)</f>
        <v>1348.0248888888891</v>
      </c>
    </row>
    <row r="46" spans="1:4">
      <c r="A46" s="2" t="s">
        <v>52</v>
      </c>
      <c r="B46" s="2"/>
      <c r="C46" s="2"/>
      <c r="D46" s="2"/>
    </row>
    <row r="47" spans="1:4">
      <c r="A47" s="28" t="s">
        <v>53</v>
      </c>
      <c r="B47" s="29" t="s">
        <v>54</v>
      </c>
      <c r="C47" s="29"/>
      <c r="D47" s="28" t="s">
        <v>19</v>
      </c>
    </row>
    <row r="48" spans="1:4">
      <c r="A48" s="26" t="s">
        <v>20</v>
      </c>
      <c r="B48" s="27" t="s">
        <v>55</v>
      </c>
      <c r="C48" s="59"/>
      <c r="D48" s="53">
        <f>(2*15*6)-(6%*D18)</f>
        <v>27.840000000000003</v>
      </c>
    </row>
    <row r="49" spans="1:4">
      <c r="A49" s="26" t="s">
        <v>22</v>
      </c>
      <c r="B49" s="27" t="s">
        <v>56</v>
      </c>
      <c r="C49" s="60">
        <v>56</v>
      </c>
      <c r="D49" s="53">
        <f>(C49*15)*80%</f>
        <v>672</v>
      </c>
    </row>
    <row r="50" spans="1:4">
      <c r="A50" s="26" t="s">
        <v>24</v>
      </c>
      <c r="B50" s="27" t="s">
        <v>57</v>
      </c>
      <c r="C50" s="59"/>
      <c r="D50" s="53">
        <v>128.91999999999999</v>
      </c>
    </row>
    <row r="51" spans="1:4">
      <c r="A51" s="26" t="s">
        <v>26</v>
      </c>
      <c r="B51" s="27" t="s">
        <v>116</v>
      </c>
      <c r="C51" s="59"/>
      <c r="D51" s="53">
        <v>10</v>
      </c>
    </row>
    <row r="52" spans="1:4">
      <c r="A52" s="26" t="s">
        <v>28</v>
      </c>
      <c r="B52" s="27" t="s">
        <v>100</v>
      </c>
      <c r="C52" s="59"/>
      <c r="D52" s="53">
        <v>25</v>
      </c>
    </row>
    <row r="53" spans="1:4">
      <c r="A53" s="26" t="s">
        <v>30</v>
      </c>
      <c r="B53" s="27" t="s">
        <v>144</v>
      </c>
      <c r="C53" s="59"/>
      <c r="D53" s="53">
        <f>((C49*15)*80%)/12</f>
        <v>56</v>
      </c>
    </row>
    <row r="54" spans="1:4">
      <c r="A54" s="29"/>
      <c r="B54" s="28" t="s">
        <v>32</v>
      </c>
      <c r="C54" s="29"/>
      <c r="D54" s="31">
        <f>SUM(D48:D53)</f>
        <v>919.76</v>
      </c>
    </row>
    <row r="56" spans="1:4">
      <c r="A56" s="2" t="s">
        <v>58</v>
      </c>
      <c r="B56" s="2"/>
      <c r="C56" s="2"/>
      <c r="D56" s="2"/>
    </row>
    <row r="57" spans="1:4">
      <c r="A57" s="28">
        <v>2</v>
      </c>
      <c r="B57" s="29" t="s">
        <v>59</v>
      </c>
      <c r="C57" s="29"/>
      <c r="D57" s="28" t="s">
        <v>19</v>
      </c>
    </row>
    <row r="58" spans="1:4">
      <c r="A58" s="26" t="s">
        <v>34</v>
      </c>
      <c r="B58" s="27" t="s">
        <v>35</v>
      </c>
      <c r="C58" s="27"/>
      <c r="D58" s="53">
        <f>D31</f>
        <v>366.31111111111113</v>
      </c>
    </row>
    <row r="59" spans="1:4">
      <c r="A59" s="26" t="s">
        <v>39</v>
      </c>
      <c r="B59" s="27" t="s">
        <v>40</v>
      </c>
      <c r="C59" s="27"/>
      <c r="D59" s="53">
        <f>D44</f>
        <v>1348.0248888888891</v>
      </c>
    </row>
    <row r="60" spans="1:4">
      <c r="A60" s="26" t="s">
        <v>53</v>
      </c>
      <c r="B60" s="27" t="s">
        <v>54</v>
      </c>
      <c r="C60" s="27"/>
      <c r="D60" s="53">
        <f>D54</f>
        <v>919.76</v>
      </c>
    </row>
    <row r="61" spans="1:4">
      <c r="A61" s="35"/>
      <c r="B61" s="28" t="s">
        <v>32</v>
      </c>
      <c r="C61" s="29"/>
      <c r="D61" s="31">
        <f>SUM(D58:D60)</f>
        <v>2634.0960000000005</v>
      </c>
    </row>
    <row r="63" spans="1:4">
      <c r="A63" s="2" t="s">
        <v>60</v>
      </c>
      <c r="B63" s="2"/>
      <c r="C63" s="2"/>
      <c r="D63" s="2"/>
    </row>
    <row r="64" spans="1:4">
      <c r="A64" s="28">
        <v>3</v>
      </c>
      <c r="B64" s="29" t="s">
        <v>61</v>
      </c>
      <c r="C64" s="28" t="s">
        <v>41</v>
      </c>
      <c r="D64" s="28" t="s">
        <v>19</v>
      </c>
    </row>
    <row r="65" spans="1:4" ht="16.5" customHeight="1">
      <c r="A65" s="26" t="s">
        <v>20</v>
      </c>
      <c r="B65" s="27" t="s">
        <v>62</v>
      </c>
      <c r="C65" s="55">
        <f>((1/12)*0.05)*100%</f>
        <v>4.1666666666666666E-3</v>
      </c>
      <c r="D65" s="53">
        <f>(D24)*C65</f>
        <v>13.736666666666666</v>
      </c>
    </row>
    <row r="66" spans="1:4">
      <c r="A66" s="26" t="s">
        <v>22</v>
      </c>
      <c r="B66" s="27" t="s">
        <v>63</v>
      </c>
      <c r="C66" s="56">
        <f>8%*C65</f>
        <v>3.3333333333333332E-4</v>
      </c>
      <c r="D66" s="53">
        <f>(D24)*C66</f>
        <v>1.0989333333333333</v>
      </c>
    </row>
    <row r="67" spans="1:4" ht="16.5" customHeight="1">
      <c r="A67" s="26" t="s">
        <v>24</v>
      </c>
      <c r="B67" s="27" t="s">
        <v>97</v>
      </c>
      <c r="C67" s="55">
        <f>((1+2/12+(1/3*1/12))*0.08*0.4*0.9)</f>
        <v>3.4400000000000007E-2</v>
      </c>
      <c r="D67" s="53">
        <f>(D24)*C67</f>
        <v>113.40992000000003</v>
      </c>
    </row>
    <row r="68" spans="1:4" ht="16.5" customHeight="1">
      <c r="A68" s="26" t="s">
        <v>26</v>
      </c>
      <c r="B68" s="27" t="s">
        <v>95</v>
      </c>
      <c r="C68" s="55">
        <f>(1/30*7)/12</f>
        <v>1.9444444444444445E-2</v>
      </c>
      <c r="D68" s="53">
        <f>(D24)*C68</f>
        <v>64.104444444444454</v>
      </c>
    </row>
    <row r="69" spans="1:4" ht="16.5" customHeight="1">
      <c r="A69" s="36" t="s">
        <v>28</v>
      </c>
      <c r="B69" s="37" t="s">
        <v>96</v>
      </c>
      <c r="C69" s="57">
        <f>C68*C44</f>
        <v>7.1555555555555565E-3</v>
      </c>
      <c r="D69" s="53">
        <f>(D24)*C69</f>
        <v>23.590435555555558</v>
      </c>
    </row>
    <row r="70" spans="1:4" ht="16.5" customHeight="1">
      <c r="A70" s="26" t="s">
        <v>30</v>
      </c>
      <c r="B70" s="27" t="s">
        <v>64</v>
      </c>
      <c r="C70" s="56">
        <f>C68*0.08*0.4</f>
        <v>6.2222222222222236E-4</v>
      </c>
      <c r="D70" s="53">
        <f>(D24)*C70</f>
        <v>2.0513422222222228</v>
      </c>
    </row>
    <row r="71" spans="1:4">
      <c r="A71" s="29"/>
      <c r="B71" s="28" t="s">
        <v>32</v>
      </c>
      <c r="C71" s="34">
        <f>SUM(C65:C70)</f>
        <v>6.6122222222222221E-2</v>
      </c>
      <c r="D71" s="31">
        <f>SUM(D65:D70)</f>
        <v>217.99174222222226</v>
      </c>
    </row>
    <row r="72" spans="1:4">
      <c r="A72" s="2"/>
      <c r="B72" s="11"/>
      <c r="C72" s="12"/>
      <c r="D72" s="13"/>
    </row>
    <row r="73" spans="1:4">
      <c r="A73" s="2" t="s">
        <v>65</v>
      </c>
      <c r="B73" s="2"/>
      <c r="C73" s="2"/>
      <c r="D73" s="2"/>
    </row>
    <row r="74" spans="1:4">
      <c r="A74" s="2" t="s">
        <v>66</v>
      </c>
      <c r="B74" s="2"/>
      <c r="C74" s="2"/>
      <c r="D74" s="2"/>
    </row>
    <row r="75" spans="1:4">
      <c r="A75" s="28" t="s">
        <v>67</v>
      </c>
      <c r="B75" s="29" t="s">
        <v>68</v>
      </c>
      <c r="C75" s="28" t="s">
        <v>41</v>
      </c>
      <c r="D75" s="28" t="s">
        <v>19</v>
      </c>
    </row>
    <row r="76" spans="1:4">
      <c r="A76" s="26" t="s">
        <v>20</v>
      </c>
      <c r="B76" s="27" t="s">
        <v>69</v>
      </c>
      <c r="C76" s="55">
        <f>(1/12)</f>
        <v>8.3333333333333329E-2</v>
      </c>
      <c r="D76" s="53">
        <f>(D24)*C76</f>
        <v>274.73333333333335</v>
      </c>
    </row>
    <row r="77" spans="1:4">
      <c r="A77" s="26" t="s">
        <v>22</v>
      </c>
      <c r="B77" s="27" t="s">
        <v>70</v>
      </c>
      <c r="C77" s="55">
        <f>(8/30)/12</f>
        <v>2.2222222222222223E-2</v>
      </c>
      <c r="D77" s="53">
        <f>(D24)*C77</f>
        <v>73.262222222222235</v>
      </c>
    </row>
    <row r="78" spans="1:4">
      <c r="A78" s="26" t="s">
        <v>24</v>
      </c>
      <c r="B78" s="27" t="s">
        <v>71</v>
      </c>
      <c r="C78" s="55">
        <f>((20/30)/12)*(1.416%)*45.22%</f>
        <v>3.557306666666666E-4</v>
      </c>
      <c r="D78" s="53">
        <f>(D24)*C78</f>
        <v>1.1727728618666664</v>
      </c>
    </row>
    <row r="79" spans="1:4">
      <c r="A79" s="26" t="s">
        <v>26</v>
      </c>
      <c r="B79" s="27" t="s">
        <v>72</v>
      </c>
      <c r="C79" s="55">
        <f>(15/365)*8%</f>
        <v>3.2876712328767121E-3</v>
      </c>
      <c r="D79" s="53">
        <f>(D24)*C79</f>
        <v>10.838794520547944</v>
      </c>
    </row>
    <row r="80" spans="1:4">
      <c r="A80" s="26" t="s">
        <v>28</v>
      </c>
      <c r="B80" s="27" t="s">
        <v>94</v>
      </c>
      <c r="C80" s="55">
        <f>0.121*0.03*((4/12))</f>
        <v>1.2099999999999997E-3</v>
      </c>
      <c r="D80" s="53">
        <f>(D24)*C80</f>
        <v>3.9891279999999991</v>
      </c>
    </row>
    <row r="81" spans="1:4">
      <c r="A81" s="26" t="s">
        <v>30</v>
      </c>
      <c r="B81" s="27" t="s">
        <v>73</v>
      </c>
      <c r="C81" s="55">
        <v>5.9999999999999995E-4</v>
      </c>
      <c r="D81" s="53">
        <f>$D$24*C81</f>
        <v>1.9780799999999998</v>
      </c>
    </row>
    <row r="82" spans="1:4">
      <c r="A82" s="28"/>
      <c r="B82" s="28" t="s">
        <v>32</v>
      </c>
      <c r="C82" s="34">
        <f>SUM(C76:C81)</f>
        <v>0.11100895745509894</v>
      </c>
      <c r="D82" s="31">
        <f>SUM(D76:D81)</f>
        <v>365.97433093797019</v>
      </c>
    </row>
    <row r="84" spans="1:4">
      <c r="A84" s="2" t="s">
        <v>75</v>
      </c>
    </row>
    <row r="85" spans="1:4">
      <c r="A85" s="28" t="s">
        <v>76</v>
      </c>
      <c r="B85" s="29" t="s">
        <v>77</v>
      </c>
      <c r="C85" s="29"/>
      <c r="D85" s="28" t="s">
        <v>19</v>
      </c>
    </row>
    <row r="86" spans="1:4">
      <c r="A86" s="26" t="s">
        <v>20</v>
      </c>
      <c r="B86" s="27" t="s">
        <v>78</v>
      </c>
      <c r="C86" s="32"/>
      <c r="D86" s="53">
        <f>(D24/220)*1.5*15</f>
        <v>337.17272727272729</v>
      </c>
    </row>
    <row r="87" spans="1:4">
      <c r="A87" s="29"/>
      <c r="B87" s="28" t="s">
        <v>32</v>
      </c>
      <c r="C87" s="29"/>
      <c r="D87" s="31">
        <f>D86</f>
        <v>337.17272727272729</v>
      </c>
    </row>
    <row r="89" spans="1:4">
      <c r="A89" s="2" t="s">
        <v>79</v>
      </c>
      <c r="B89" s="2"/>
      <c r="C89" s="2"/>
      <c r="D89" s="2"/>
    </row>
    <row r="90" spans="1:4">
      <c r="A90" s="28">
        <v>4</v>
      </c>
      <c r="B90" s="29" t="s">
        <v>80</v>
      </c>
      <c r="C90" s="29"/>
      <c r="D90" s="28" t="s">
        <v>19</v>
      </c>
    </row>
    <row r="91" spans="1:4">
      <c r="A91" s="26" t="s">
        <v>67</v>
      </c>
      <c r="B91" s="27" t="s">
        <v>81</v>
      </c>
      <c r="C91" s="27"/>
      <c r="D91" s="53">
        <f>D82</f>
        <v>365.97433093797019</v>
      </c>
    </row>
    <row r="92" spans="1:4">
      <c r="A92" s="26" t="s">
        <v>76</v>
      </c>
      <c r="B92" s="27" t="s">
        <v>77</v>
      </c>
      <c r="C92" s="27"/>
      <c r="D92" s="53">
        <f>D87</f>
        <v>337.17272727272729</v>
      </c>
    </row>
    <row r="93" spans="1:4">
      <c r="A93" s="29"/>
      <c r="B93" s="28" t="s">
        <v>32</v>
      </c>
      <c r="C93" s="29"/>
      <c r="D93" s="31">
        <f>SUM(D91:D92)</f>
        <v>703.14705821069742</v>
      </c>
    </row>
    <row r="95" spans="1:4">
      <c r="A95" s="2" t="s">
        <v>82</v>
      </c>
      <c r="B95" s="2"/>
      <c r="C95" s="2"/>
      <c r="D95" s="2"/>
    </row>
    <row r="96" spans="1:4">
      <c r="A96" s="28">
        <v>5</v>
      </c>
      <c r="B96" s="29" t="s">
        <v>83</v>
      </c>
      <c r="C96" s="29"/>
      <c r="D96" s="28" t="s">
        <v>19</v>
      </c>
    </row>
    <row r="97" spans="1:4">
      <c r="A97" s="26" t="s">
        <v>20</v>
      </c>
      <c r="B97" s="27" t="s">
        <v>113</v>
      </c>
      <c r="C97" s="27"/>
      <c r="D97" s="53">
        <f>' Insumos'!F25</f>
        <v>4.555416666666666</v>
      </c>
    </row>
    <row r="98" spans="1:4">
      <c r="A98" s="26" t="s">
        <v>22</v>
      </c>
      <c r="B98" s="27" t="s">
        <v>114</v>
      </c>
      <c r="C98" s="27"/>
      <c r="D98" s="53"/>
    </row>
    <row r="99" spans="1:4">
      <c r="A99" s="26" t="s">
        <v>24</v>
      </c>
      <c r="B99" s="27" t="s">
        <v>111</v>
      </c>
      <c r="C99" s="27"/>
      <c r="D99" s="53">
        <f>' Insumos'!F16</f>
        <v>143.38500000000002</v>
      </c>
    </row>
    <row r="100" spans="1:4">
      <c r="A100" s="26" t="s">
        <v>26</v>
      </c>
      <c r="B100" s="27" t="s">
        <v>31</v>
      </c>
      <c r="C100" s="27"/>
      <c r="D100" s="53"/>
    </row>
    <row r="101" spans="1:4">
      <c r="A101" s="29"/>
      <c r="B101" s="28" t="s">
        <v>32</v>
      </c>
      <c r="C101" s="29"/>
      <c r="D101" s="31">
        <f>SUM(D97:D100)</f>
        <v>147.94041666666669</v>
      </c>
    </row>
    <row r="103" spans="1:4">
      <c r="A103" s="2" t="s">
        <v>84</v>
      </c>
      <c r="B103" s="2"/>
      <c r="C103" s="2"/>
      <c r="D103" s="2"/>
    </row>
    <row r="104" spans="1:4">
      <c r="A104" s="28">
        <v>6</v>
      </c>
      <c r="B104" s="29" t="s">
        <v>85</v>
      </c>
      <c r="C104" s="28" t="s">
        <v>41</v>
      </c>
      <c r="D104" s="28" t="s">
        <v>19</v>
      </c>
    </row>
    <row r="105" spans="1:4">
      <c r="A105" s="26" t="s">
        <v>20</v>
      </c>
      <c r="B105" s="27" t="s">
        <v>86</v>
      </c>
      <c r="C105" s="55">
        <v>0.06</v>
      </c>
      <c r="D105" s="53">
        <f>D120*C105</f>
        <v>419.99851302597523</v>
      </c>
    </row>
    <row r="106" spans="1:4">
      <c r="A106" s="26" t="s">
        <v>22</v>
      </c>
      <c r="B106" s="27" t="s">
        <v>87</v>
      </c>
      <c r="C106" s="55">
        <v>6.7900000000000002E-2</v>
      </c>
      <c r="D106" s="53">
        <f>(D120+D105)*C106</f>
        <v>503.81621627552573</v>
      </c>
    </row>
    <row r="107" spans="1:4">
      <c r="A107" s="26" t="s">
        <v>24</v>
      </c>
      <c r="B107" s="27" t="s">
        <v>88</v>
      </c>
      <c r="C107" s="55"/>
      <c r="D107" s="53"/>
    </row>
    <row r="108" spans="1:4">
      <c r="A108" s="26"/>
      <c r="B108" s="27" t="s">
        <v>103</v>
      </c>
      <c r="C108" s="55">
        <v>6.4999999999999997E-3</v>
      </c>
      <c r="D108" s="53">
        <f>(($D$120+$D$105+$D$106)/(1-$C$107))*C108</f>
        <v>51.504634651607077</v>
      </c>
    </row>
    <row r="109" spans="1:4">
      <c r="A109" s="26"/>
      <c r="B109" s="27" t="s">
        <v>101</v>
      </c>
      <c r="C109" s="55">
        <v>0.03</v>
      </c>
      <c r="D109" s="53">
        <f>(($D$120+$D$105+$D$106)/(1-$C$107))*C109</f>
        <v>237.71369839203265</v>
      </c>
    </row>
    <row r="110" spans="1:4">
      <c r="A110" s="26"/>
      <c r="B110" s="27" t="s">
        <v>102</v>
      </c>
      <c r="C110" s="55">
        <v>0.05</v>
      </c>
      <c r="D110" s="53">
        <f>(($D$120+$D$105+$D$106)/(1-$C$107))*C110</f>
        <v>396.18949732005444</v>
      </c>
    </row>
    <row r="111" spans="1:4">
      <c r="A111" s="29"/>
      <c r="B111" s="28" t="s">
        <v>32</v>
      </c>
      <c r="C111" s="34">
        <f>(C105+C106+C107+C108+C109+C110)</f>
        <v>0.21440000000000003</v>
      </c>
      <c r="D111" s="31">
        <f>SUM(D105:D110)</f>
        <v>1609.2225596651951</v>
      </c>
    </row>
    <row r="113" spans="1:4">
      <c r="A113" s="2" t="s">
        <v>89</v>
      </c>
      <c r="B113" s="2"/>
      <c r="C113" s="2"/>
      <c r="D113" s="2"/>
    </row>
    <row r="114" spans="1:4">
      <c r="A114" s="28"/>
      <c r="B114" s="29" t="s">
        <v>90</v>
      </c>
      <c r="C114" s="29"/>
      <c r="D114" s="28" t="s">
        <v>19</v>
      </c>
    </row>
    <row r="115" spans="1:4">
      <c r="A115" s="26" t="s">
        <v>20</v>
      </c>
      <c r="B115" s="27" t="s">
        <v>17</v>
      </c>
      <c r="C115" s="27"/>
      <c r="D115" s="53">
        <f>D24</f>
        <v>3296.8</v>
      </c>
    </row>
    <row r="116" spans="1:4">
      <c r="A116" s="26" t="s">
        <v>22</v>
      </c>
      <c r="B116" s="27" t="s">
        <v>33</v>
      </c>
      <c r="C116" s="27"/>
      <c r="D116" s="53">
        <f>D61</f>
        <v>2634.0960000000005</v>
      </c>
    </row>
    <row r="117" spans="1:4">
      <c r="A117" s="26" t="s">
        <v>24</v>
      </c>
      <c r="B117" s="27" t="s">
        <v>60</v>
      </c>
      <c r="C117" s="27"/>
      <c r="D117" s="53">
        <f>D71</f>
        <v>217.99174222222226</v>
      </c>
    </row>
    <row r="118" spans="1:4">
      <c r="A118" s="26" t="s">
        <v>26</v>
      </c>
      <c r="B118" s="27" t="s">
        <v>65</v>
      </c>
      <c r="C118" s="27"/>
      <c r="D118" s="53">
        <f>D93</f>
        <v>703.14705821069742</v>
      </c>
    </row>
    <row r="119" spans="1:4">
      <c r="A119" s="26" t="s">
        <v>28</v>
      </c>
      <c r="B119" s="27" t="s">
        <v>91</v>
      </c>
      <c r="C119" s="27"/>
      <c r="D119" s="53">
        <f>D101</f>
        <v>147.94041666666669</v>
      </c>
    </row>
    <row r="120" spans="1:4">
      <c r="A120" s="28"/>
      <c r="B120" s="28" t="s">
        <v>92</v>
      </c>
      <c r="C120" s="29"/>
      <c r="D120" s="31">
        <f>(SUM(D115:D119))</f>
        <v>6999.9752170995871</v>
      </c>
    </row>
    <row r="121" spans="1:4">
      <c r="A121" s="26" t="s">
        <v>30</v>
      </c>
      <c r="B121" s="27" t="s">
        <v>84</v>
      </c>
      <c r="C121" s="27"/>
      <c r="D121" s="30">
        <f>D111</f>
        <v>1609.2225596651951</v>
      </c>
    </row>
    <row r="122" spans="1:4">
      <c r="A122" s="28"/>
      <c r="B122" s="28" t="s">
        <v>93</v>
      </c>
      <c r="C122" s="29"/>
      <c r="D122" s="39">
        <f>TRUNC(D120+D121,2)</f>
        <v>8609.19</v>
      </c>
    </row>
    <row r="123" spans="1:4">
      <c r="A123" s="2" t="s">
        <v>168</v>
      </c>
      <c r="D123" s="63">
        <f>TRUNC(D122*2,2)</f>
        <v>17218.38</v>
      </c>
    </row>
  </sheetData>
  <sheetProtection selectLockedCells="1"/>
  <mergeCells count="6">
    <mergeCell ref="B14:C14"/>
    <mergeCell ref="A1:D1"/>
    <mergeCell ref="B10:C10"/>
    <mergeCell ref="B11:C11"/>
    <mergeCell ref="B12:C12"/>
    <mergeCell ref="B13:C13"/>
  </mergeCells>
  <pageMargins left="0.78740157480314965" right="0.39370078740157483" top="0.39370078740157483" bottom="0.39370078740157483" header="0.51181102362204722" footer="0.51181102362204722"/>
  <pageSetup paperSize="9" scale="68" orientation="portrait" horizontalDpi="300" verticalDpi="300" r:id="rId1"/>
  <headerFooter alignWithMargins="0"/>
  <rowBreaks count="1" manualBreakCount="1">
    <brk id="62" max="4" man="1"/>
  </rowBreaks>
  <ignoredErrors>
    <ignoredError sqref="D19 D48:D49 C29:D30 D36:D43 D58:D60 C65:D70 C76:D81 D86 D91:D92 D97:D98 D53 D105:D110 D115:D119 D99:D100" unlockedFormula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0" tint="-0.14999847407452621"/>
  </sheetPr>
  <dimension ref="A1:D123"/>
  <sheetViews>
    <sheetView view="pageBreakPreview" topLeftCell="A90" zoomScaleNormal="100" zoomScaleSheetLayoutView="100" workbookViewId="0">
      <selection activeCell="B134" sqref="B134"/>
    </sheetView>
  </sheetViews>
  <sheetFormatPr defaultColWidth="11.5703125" defaultRowHeight="15.75"/>
  <cols>
    <col min="1" max="1" width="8.85546875" style="1" customWidth="1"/>
    <col min="2" max="2" width="72.5703125" style="1" customWidth="1"/>
    <col min="3" max="3" width="17.5703125" style="1" customWidth="1"/>
    <col min="4" max="4" width="34.42578125" style="1" customWidth="1"/>
    <col min="5" max="16384" width="11.5703125" style="1"/>
  </cols>
  <sheetData>
    <row r="1" spans="1:4">
      <c r="A1" s="73" t="s">
        <v>6</v>
      </c>
      <c r="B1" s="73"/>
      <c r="C1" s="73"/>
      <c r="D1" s="73"/>
    </row>
    <row r="4" spans="1:4">
      <c r="A4" s="2" t="s">
        <v>7</v>
      </c>
    </row>
    <row r="5" spans="1:4">
      <c r="A5" s="38" t="s">
        <v>167</v>
      </c>
    </row>
    <row r="6" spans="1:4">
      <c r="A6" s="2" t="s">
        <v>8</v>
      </c>
    </row>
    <row r="7" spans="1:4">
      <c r="A7" s="2" t="s">
        <v>9</v>
      </c>
    </row>
    <row r="8" spans="1:4">
      <c r="A8" s="1" t="s">
        <v>10</v>
      </c>
    </row>
    <row r="9" spans="1:4">
      <c r="A9" s="1" t="s">
        <v>11</v>
      </c>
    </row>
    <row r="10" spans="1:4">
      <c r="A10" s="26">
        <v>1</v>
      </c>
      <c r="B10" s="72" t="s">
        <v>12</v>
      </c>
      <c r="C10" s="72"/>
      <c r="D10" s="27"/>
    </row>
    <row r="11" spans="1:4">
      <c r="A11" s="26">
        <v>2</v>
      </c>
      <c r="B11" s="72" t="s">
        <v>13</v>
      </c>
      <c r="C11" s="72"/>
      <c r="D11" s="50" t="s">
        <v>104</v>
      </c>
    </row>
    <row r="12" spans="1:4">
      <c r="A12" s="26">
        <v>3</v>
      </c>
      <c r="B12" s="72" t="s">
        <v>14</v>
      </c>
      <c r="C12" s="72"/>
      <c r="D12" s="51">
        <v>2536</v>
      </c>
    </row>
    <row r="13" spans="1:4">
      <c r="A13" s="26">
        <v>4</v>
      </c>
      <c r="B13" s="72" t="s">
        <v>15</v>
      </c>
      <c r="C13" s="72"/>
      <c r="D13" s="50" t="s">
        <v>105</v>
      </c>
    </row>
    <row r="14" spans="1:4">
      <c r="A14" s="26">
        <v>5</v>
      </c>
      <c r="B14" s="72" t="s">
        <v>16</v>
      </c>
      <c r="C14" s="72"/>
      <c r="D14" s="50" t="s">
        <v>146</v>
      </c>
    </row>
    <row r="15" spans="1:4">
      <c r="A15" s="2"/>
    </row>
    <row r="16" spans="1:4">
      <c r="A16" s="2" t="s">
        <v>17</v>
      </c>
      <c r="B16" s="2"/>
      <c r="C16" s="2"/>
    </row>
    <row r="17" spans="1:4">
      <c r="A17" s="28">
        <v>1</v>
      </c>
      <c r="B17" s="29" t="s">
        <v>18</v>
      </c>
      <c r="C17" s="28"/>
      <c r="D17" s="28" t="s">
        <v>19</v>
      </c>
    </row>
    <row r="18" spans="1:4">
      <c r="A18" s="26" t="s">
        <v>20</v>
      </c>
      <c r="B18" s="27" t="s">
        <v>21</v>
      </c>
      <c r="C18" s="30"/>
      <c r="D18" s="52">
        <v>2536</v>
      </c>
    </row>
    <row r="19" spans="1:4">
      <c r="A19" s="26" t="s">
        <v>22</v>
      </c>
      <c r="B19" s="27" t="s">
        <v>23</v>
      </c>
      <c r="C19" s="30"/>
      <c r="D19" s="53">
        <f>D18*30%</f>
        <v>760.8</v>
      </c>
    </row>
    <row r="20" spans="1:4">
      <c r="A20" s="26" t="s">
        <v>24</v>
      </c>
      <c r="B20" s="27" t="s">
        <v>25</v>
      </c>
      <c r="C20" s="30"/>
      <c r="D20" s="53"/>
    </row>
    <row r="21" spans="1:4">
      <c r="A21" s="26" t="s">
        <v>26</v>
      </c>
      <c r="B21" s="27" t="s">
        <v>27</v>
      </c>
      <c r="C21" s="58">
        <v>0.2</v>
      </c>
      <c r="D21" s="53">
        <f>((D18+D19)/220)*C21*105</f>
        <v>314.69454545454545</v>
      </c>
    </row>
    <row r="22" spans="1:4">
      <c r="A22" s="26" t="s">
        <v>28</v>
      </c>
      <c r="B22" s="27" t="s">
        <v>29</v>
      </c>
      <c r="C22" s="30"/>
      <c r="D22" s="53"/>
    </row>
    <row r="23" spans="1:4">
      <c r="A23" s="26" t="s">
        <v>30</v>
      </c>
      <c r="B23" s="27" t="s">
        <v>31</v>
      </c>
      <c r="C23" s="30"/>
      <c r="D23" s="53"/>
    </row>
    <row r="24" spans="1:4">
      <c r="A24" s="28"/>
      <c r="B24" s="28" t="s">
        <v>32</v>
      </c>
      <c r="C24" s="31"/>
      <c r="D24" s="31">
        <f>SUM(D18:D23)</f>
        <v>3611.4945454545455</v>
      </c>
    </row>
    <row r="26" spans="1:4">
      <c r="A26" s="2" t="s">
        <v>33</v>
      </c>
      <c r="B26" s="2"/>
      <c r="C26" s="2"/>
    </row>
    <row r="27" spans="1:4">
      <c r="A27" s="2" t="s">
        <v>143</v>
      </c>
      <c r="B27" s="2"/>
      <c r="C27" s="2"/>
    </row>
    <row r="28" spans="1:4">
      <c r="A28" s="28" t="s">
        <v>34</v>
      </c>
      <c r="B28" s="29" t="s">
        <v>35</v>
      </c>
      <c r="C28" s="28"/>
      <c r="D28" s="28" t="s">
        <v>19</v>
      </c>
    </row>
    <row r="29" spans="1:4">
      <c r="A29" s="26" t="s">
        <v>20</v>
      </c>
      <c r="B29" s="27" t="s">
        <v>36</v>
      </c>
      <c r="C29" s="54">
        <f>1/12</f>
        <v>8.3333333333333329E-2</v>
      </c>
      <c r="D29" s="53">
        <f>D24*C29</f>
        <v>300.95787878787877</v>
      </c>
    </row>
    <row r="30" spans="1:4">
      <c r="A30" s="26" t="s">
        <v>22</v>
      </c>
      <c r="B30" s="27" t="s">
        <v>117</v>
      </c>
      <c r="C30" s="54">
        <f>(1/3)/12</f>
        <v>2.7777777777777776E-2</v>
      </c>
      <c r="D30" s="53">
        <f>D24*C30</f>
        <v>100.31929292929293</v>
      </c>
    </row>
    <row r="31" spans="1:4">
      <c r="A31" s="28"/>
      <c r="B31" s="28" t="s">
        <v>32</v>
      </c>
      <c r="C31" s="33">
        <f>SUM(C29:C30)</f>
        <v>0.1111111111111111</v>
      </c>
      <c r="D31" s="31">
        <f>SUM(D29:D30)</f>
        <v>401.27717171717171</v>
      </c>
    </row>
    <row r="33" spans="1:4">
      <c r="A33" s="2" t="s">
        <v>37</v>
      </c>
      <c r="B33" s="2"/>
      <c r="C33" s="2"/>
      <c r="D33" s="2"/>
    </row>
    <row r="34" spans="1:4">
      <c r="A34" s="2" t="s">
        <v>38</v>
      </c>
      <c r="B34" s="2"/>
      <c r="C34" s="2"/>
      <c r="D34" s="2"/>
    </row>
    <row r="35" spans="1:4">
      <c r="A35" s="28" t="s">
        <v>39</v>
      </c>
      <c r="B35" s="29" t="s">
        <v>40</v>
      </c>
      <c r="C35" s="28" t="s">
        <v>41</v>
      </c>
      <c r="D35" s="28" t="s">
        <v>19</v>
      </c>
    </row>
    <row r="36" spans="1:4">
      <c r="A36" s="26" t="s">
        <v>20</v>
      </c>
      <c r="B36" s="27" t="s">
        <v>42</v>
      </c>
      <c r="C36" s="55">
        <v>0.2</v>
      </c>
      <c r="D36" s="53">
        <f>(D24+D31)*C36</f>
        <v>802.55434343434354</v>
      </c>
    </row>
    <row r="37" spans="1:4">
      <c r="A37" s="26" t="s">
        <v>22</v>
      </c>
      <c r="B37" s="27" t="s">
        <v>43</v>
      </c>
      <c r="C37" s="55">
        <v>2.5000000000000001E-2</v>
      </c>
      <c r="D37" s="53">
        <f>(D24+D31)*C37</f>
        <v>100.31929292929294</v>
      </c>
    </row>
    <row r="38" spans="1:4">
      <c r="A38" s="26" t="s">
        <v>24</v>
      </c>
      <c r="B38" s="27" t="s">
        <v>44</v>
      </c>
      <c r="C38" s="55">
        <v>0.03</v>
      </c>
      <c r="D38" s="53">
        <f>(D24+D31)*C38</f>
        <v>120.38315151515151</v>
      </c>
    </row>
    <row r="39" spans="1:4">
      <c r="A39" s="26" t="s">
        <v>26</v>
      </c>
      <c r="B39" s="27" t="s">
        <v>45</v>
      </c>
      <c r="C39" s="55">
        <v>1.4999999999999999E-2</v>
      </c>
      <c r="D39" s="53">
        <f>(D24+D31)*C39</f>
        <v>60.191575757575755</v>
      </c>
    </row>
    <row r="40" spans="1:4">
      <c r="A40" s="26" t="s">
        <v>28</v>
      </c>
      <c r="B40" s="27" t="s">
        <v>46</v>
      </c>
      <c r="C40" s="55">
        <v>0.01</v>
      </c>
      <c r="D40" s="53">
        <f>(D24+D31)*C40</f>
        <v>40.127717171717173</v>
      </c>
    </row>
    <row r="41" spans="1:4">
      <c r="A41" s="26" t="s">
        <v>30</v>
      </c>
      <c r="B41" s="27" t="s">
        <v>47</v>
      </c>
      <c r="C41" s="55">
        <v>6.0000000000000001E-3</v>
      </c>
      <c r="D41" s="53">
        <f>(D24+D31)*C41</f>
        <v>24.076630303030303</v>
      </c>
    </row>
    <row r="42" spans="1:4">
      <c r="A42" s="26" t="s">
        <v>48</v>
      </c>
      <c r="B42" s="27" t="s">
        <v>49</v>
      </c>
      <c r="C42" s="55">
        <v>2E-3</v>
      </c>
      <c r="D42" s="53">
        <f>(D24+D31)*C42</f>
        <v>8.0255434343434349</v>
      </c>
    </row>
    <row r="43" spans="1:4">
      <c r="A43" s="26" t="s">
        <v>50</v>
      </c>
      <c r="B43" s="27" t="s">
        <v>51</v>
      </c>
      <c r="C43" s="55">
        <v>0.08</v>
      </c>
      <c r="D43" s="53">
        <f>(D24+D31)*C43</f>
        <v>321.02173737373738</v>
      </c>
    </row>
    <row r="44" spans="1:4">
      <c r="A44" s="29"/>
      <c r="B44" s="28" t="s">
        <v>32</v>
      </c>
      <c r="C44" s="34">
        <f>SUM(C36:C43)</f>
        <v>0.36800000000000005</v>
      </c>
      <c r="D44" s="31">
        <f>SUM(D36:D43)</f>
        <v>1476.6999919191921</v>
      </c>
    </row>
    <row r="46" spans="1:4">
      <c r="A46" s="2" t="s">
        <v>52</v>
      </c>
      <c r="B46" s="2"/>
      <c r="C46" s="2"/>
      <c r="D46" s="2"/>
    </row>
    <row r="47" spans="1:4">
      <c r="A47" s="28" t="s">
        <v>53</v>
      </c>
      <c r="B47" s="29" t="s">
        <v>54</v>
      </c>
      <c r="C47" s="29"/>
      <c r="D47" s="28" t="s">
        <v>19</v>
      </c>
    </row>
    <row r="48" spans="1:4">
      <c r="A48" s="26" t="s">
        <v>20</v>
      </c>
      <c r="B48" s="27" t="s">
        <v>55</v>
      </c>
      <c r="C48" s="59"/>
      <c r="D48" s="53">
        <f>(2*15*6)-(6%*D18)</f>
        <v>27.840000000000003</v>
      </c>
    </row>
    <row r="49" spans="1:4">
      <c r="A49" s="26" t="s">
        <v>22</v>
      </c>
      <c r="B49" s="27" t="s">
        <v>56</v>
      </c>
      <c r="C49" s="60">
        <v>56</v>
      </c>
      <c r="D49" s="53">
        <f>(C49*15)*80%</f>
        <v>672</v>
      </c>
    </row>
    <row r="50" spans="1:4">
      <c r="A50" s="26" t="s">
        <v>24</v>
      </c>
      <c r="B50" s="27" t="s">
        <v>57</v>
      </c>
      <c r="C50" s="59"/>
      <c r="D50" s="53">
        <v>128.91999999999999</v>
      </c>
    </row>
    <row r="51" spans="1:4">
      <c r="A51" s="26" t="s">
        <v>26</v>
      </c>
      <c r="B51" s="27" t="s">
        <v>116</v>
      </c>
      <c r="C51" s="59"/>
      <c r="D51" s="53">
        <v>10</v>
      </c>
    </row>
    <row r="52" spans="1:4">
      <c r="A52" s="26" t="s">
        <v>28</v>
      </c>
      <c r="B52" s="27" t="s">
        <v>100</v>
      </c>
      <c r="C52" s="59"/>
      <c r="D52" s="53">
        <v>25</v>
      </c>
    </row>
    <row r="53" spans="1:4">
      <c r="A53" s="26" t="s">
        <v>30</v>
      </c>
      <c r="B53" s="27" t="s">
        <v>144</v>
      </c>
      <c r="C53" s="59"/>
      <c r="D53" s="53">
        <f>((C49*15)*80%)/12</f>
        <v>56</v>
      </c>
    </row>
    <row r="54" spans="1:4">
      <c r="A54" s="29"/>
      <c r="B54" s="28" t="s">
        <v>32</v>
      </c>
      <c r="C54" s="29"/>
      <c r="D54" s="31">
        <f>SUM(D48:D53)</f>
        <v>919.76</v>
      </c>
    </row>
    <row r="56" spans="1:4">
      <c r="A56" s="2" t="s">
        <v>58</v>
      </c>
      <c r="B56" s="2"/>
      <c r="C56" s="2"/>
      <c r="D56" s="2"/>
    </row>
    <row r="57" spans="1:4">
      <c r="A57" s="28">
        <v>2</v>
      </c>
      <c r="B57" s="29" t="s">
        <v>59</v>
      </c>
      <c r="C57" s="29"/>
      <c r="D57" s="28" t="s">
        <v>19</v>
      </c>
    </row>
    <row r="58" spans="1:4">
      <c r="A58" s="26" t="s">
        <v>34</v>
      </c>
      <c r="B58" s="27" t="s">
        <v>35</v>
      </c>
      <c r="C58" s="27"/>
      <c r="D58" s="53">
        <f>D31</f>
        <v>401.27717171717171</v>
      </c>
    </row>
    <row r="59" spans="1:4">
      <c r="A59" s="26" t="s">
        <v>39</v>
      </c>
      <c r="B59" s="27" t="s">
        <v>40</v>
      </c>
      <c r="C59" s="27"/>
      <c r="D59" s="53">
        <f>D44</f>
        <v>1476.6999919191921</v>
      </c>
    </row>
    <row r="60" spans="1:4">
      <c r="A60" s="26" t="s">
        <v>53</v>
      </c>
      <c r="B60" s="27" t="s">
        <v>54</v>
      </c>
      <c r="C60" s="27"/>
      <c r="D60" s="53">
        <f>D54</f>
        <v>919.76</v>
      </c>
    </row>
    <row r="61" spans="1:4">
      <c r="A61" s="35"/>
      <c r="B61" s="28" t="s">
        <v>32</v>
      </c>
      <c r="C61" s="29"/>
      <c r="D61" s="31">
        <f>SUM(D58:D60)</f>
        <v>2797.7371636363641</v>
      </c>
    </row>
    <row r="63" spans="1:4">
      <c r="A63" s="2" t="s">
        <v>60</v>
      </c>
      <c r="B63" s="2"/>
      <c r="C63" s="2"/>
      <c r="D63" s="2"/>
    </row>
    <row r="64" spans="1:4">
      <c r="A64" s="28">
        <v>3</v>
      </c>
      <c r="B64" s="29" t="s">
        <v>61</v>
      </c>
      <c r="C64" s="28" t="s">
        <v>41</v>
      </c>
      <c r="D64" s="28" t="s">
        <v>19</v>
      </c>
    </row>
    <row r="65" spans="1:4" ht="16.5" customHeight="1">
      <c r="A65" s="26" t="s">
        <v>20</v>
      </c>
      <c r="B65" s="27" t="s">
        <v>62</v>
      </c>
      <c r="C65" s="55">
        <f>((1/12)*0.05)*100%</f>
        <v>4.1666666666666666E-3</v>
      </c>
      <c r="D65" s="53">
        <f>(D24)*C65</f>
        <v>15.047893939393939</v>
      </c>
    </row>
    <row r="66" spans="1:4">
      <c r="A66" s="26" t="s">
        <v>22</v>
      </c>
      <c r="B66" s="27" t="s">
        <v>63</v>
      </c>
      <c r="C66" s="56">
        <f>8%*C65</f>
        <v>3.3333333333333332E-4</v>
      </c>
      <c r="D66" s="53">
        <f>(D24)*C66</f>
        <v>1.2038315151515151</v>
      </c>
    </row>
    <row r="67" spans="1:4" ht="16.5" customHeight="1">
      <c r="A67" s="26" t="s">
        <v>24</v>
      </c>
      <c r="B67" s="27" t="s">
        <v>97</v>
      </c>
      <c r="C67" s="55">
        <f>((1+2/12+(1/3*1/12))*0.08*0.4*0.9)</f>
        <v>3.4400000000000007E-2</v>
      </c>
      <c r="D67" s="53">
        <f>(D24)*C67</f>
        <v>124.23541236363639</v>
      </c>
    </row>
    <row r="68" spans="1:4" ht="16.5" customHeight="1">
      <c r="A68" s="26" t="s">
        <v>26</v>
      </c>
      <c r="B68" s="27" t="s">
        <v>95</v>
      </c>
      <c r="C68" s="55">
        <f>(1/30*7)/12</f>
        <v>1.9444444444444445E-2</v>
      </c>
      <c r="D68" s="53">
        <f>(D24)*C68</f>
        <v>70.223505050505054</v>
      </c>
    </row>
    <row r="69" spans="1:4" ht="16.5" customHeight="1">
      <c r="A69" s="36" t="s">
        <v>28</v>
      </c>
      <c r="B69" s="37" t="s">
        <v>96</v>
      </c>
      <c r="C69" s="57">
        <f>C68*C44</f>
        <v>7.1555555555555565E-3</v>
      </c>
      <c r="D69" s="53">
        <f>(D24)*C69</f>
        <v>25.842249858585863</v>
      </c>
    </row>
    <row r="70" spans="1:4" ht="16.5" customHeight="1">
      <c r="A70" s="26" t="s">
        <v>30</v>
      </c>
      <c r="B70" s="27" t="s">
        <v>64</v>
      </c>
      <c r="C70" s="56">
        <f>C68*0.08*0.4</f>
        <v>6.2222222222222236E-4</v>
      </c>
      <c r="D70" s="53">
        <f>(D24)*C70</f>
        <v>2.247152161616162</v>
      </c>
    </row>
    <row r="71" spans="1:4">
      <c r="A71" s="29"/>
      <c r="B71" s="28" t="s">
        <v>32</v>
      </c>
      <c r="C71" s="34">
        <f>SUM(C65:C70)</f>
        <v>6.6122222222222221E-2</v>
      </c>
      <c r="D71" s="31">
        <f>SUM(D65:D70)</f>
        <v>238.80004488888892</v>
      </c>
    </row>
    <row r="72" spans="1:4">
      <c r="A72" s="2"/>
      <c r="B72" s="11"/>
      <c r="C72" s="12"/>
      <c r="D72" s="13"/>
    </row>
    <row r="73" spans="1:4">
      <c r="A73" s="2" t="s">
        <v>65</v>
      </c>
      <c r="B73" s="2"/>
      <c r="C73" s="2"/>
      <c r="D73" s="2"/>
    </row>
    <row r="74" spans="1:4">
      <c r="A74" s="2" t="s">
        <v>66</v>
      </c>
      <c r="B74" s="2"/>
      <c r="C74" s="2"/>
      <c r="D74" s="2"/>
    </row>
    <row r="75" spans="1:4">
      <c r="A75" s="28" t="s">
        <v>67</v>
      </c>
      <c r="B75" s="29" t="s">
        <v>68</v>
      </c>
      <c r="C75" s="28" t="s">
        <v>41</v>
      </c>
      <c r="D75" s="28" t="s">
        <v>19</v>
      </c>
    </row>
    <row r="76" spans="1:4">
      <c r="A76" s="26" t="s">
        <v>20</v>
      </c>
      <c r="B76" s="27" t="s">
        <v>69</v>
      </c>
      <c r="C76" s="55">
        <f>(1/12)</f>
        <v>8.3333333333333329E-2</v>
      </c>
      <c r="D76" s="53">
        <f>(D24)*C76</f>
        <v>300.95787878787877</v>
      </c>
    </row>
    <row r="77" spans="1:4">
      <c r="A77" s="26" t="s">
        <v>22</v>
      </c>
      <c r="B77" s="27" t="s">
        <v>70</v>
      </c>
      <c r="C77" s="55">
        <f>(8/30)/12</f>
        <v>2.2222222222222223E-2</v>
      </c>
      <c r="D77" s="53">
        <f>(D24)*C77</f>
        <v>80.255434343434345</v>
      </c>
    </row>
    <row r="78" spans="1:4">
      <c r="A78" s="26" t="s">
        <v>24</v>
      </c>
      <c r="B78" s="27" t="s">
        <v>71</v>
      </c>
      <c r="C78" s="55">
        <f>((20/30)/12)*(1.416%)*45.22%</f>
        <v>3.557306666666666E-4</v>
      </c>
      <c r="D78" s="53">
        <f>(D24)*C78</f>
        <v>1.2847193623175754</v>
      </c>
    </row>
    <row r="79" spans="1:4">
      <c r="A79" s="26" t="s">
        <v>26</v>
      </c>
      <c r="B79" s="27" t="s">
        <v>72</v>
      </c>
      <c r="C79" s="55">
        <f>(15/365)*8%</f>
        <v>3.2876712328767121E-3</v>
      </c>
      <c r="D79" s="53">
        <f>(D24)*C79</f>
        <v>11.873406724782066</v>
      </c>
    </row>
    <row r="80" spans="1:4">
      <c r="A80" s="26" t="s">
        <v>28</v>
      </c>
      <c r="B80" s="27" t="s">
        <v>94</v>
      </c>
      <c r="C80" s="55">
        <f>0.121*0.03*((4/12))</f>
        <v>1.2099999999999997E-3</v>
      </c>
      <c r="D80" s="53">
        <f>(D24)*C80</f>
        <v>4.369908399999999</v>
      </c>
    </row>
    <row r="81" spans="1:4">
      <c r="A81" s="26" t="s">
        <v>30</v>
      </c>
      <c r="B81" s="27" t="s">
        <v>73</v>
      </c>
      <c r="C81" s="55">
        <f>C68*0.08*0.4</f>
        <v>6.2222222222222236E-4</v>
      </c>
      <c r="D81" s="53">
        <f>$D$24*C81</f>
        <v>2.247152161616162</v>
      </c>
    </row>
    <row r="82" spans="1:4">
      <c r="A82" s="28"/>
      <c r="B82" s="28" t="s">
        <v>32</v>
      </c>
      <c r="C82" s="34">
        <f>SUM(C76:C81)</f>
        <v>0.11103117967732115</v>
      </c>
      <c r="D82" s="31">
        <f>SUM(D76:D81)</f>
        <v>400.98849978002886</v>
      </c>
    </row>
    <row r="84" spans="1:4">
      <c r="A84" s="2" t="s">
        <v>75</v>
      </c>
    </row>
    <row r="85" spans="1:4">
      <c r="A85" s="28" t="s">
        <v>76</v>
      </c>
      <c r="B85" s="29" t="s">
        <v>77</v>
      </c>
      <c r="C85" s="29"/>
      <c r="D85" s="28" t="s">
        <v>19</v>
      </c>
    </row>
    <row r="86" spans="1:4">
      <c r="A86" s="26" t="s">
        <v>20</v>
      </c>
      <c r="B86" s="27" t="s">
        <v>78</v>
      </c>
      <c r="C86" s="32"/>
      <c r="D86" s="53">
        <f>(D24)/220*1.5*15</f>
        <v>369.35739669421491</v>
      </c>
    </row>
    <row r="87" spans="1:4">
      <c r="A87" s="29"/>
      <c r="B87" s="28" t="s">
        <v>32</v>
      </c>
      <c r="C87" s="29"/>
      <c r="D87" s="31">
        <f>D86</f>
        <v>369.35739669421491</v>
      </c>
    </row>
    <row r="89" spans="1:4">
      <c r="A89" s="2" t="s">
        <v>79</v>
      </c>
      <c r="B89" s="2"/>
      <c r="C89" s="2"/>
      <c r="D89" s="2"/>
    </row>
    <row r="90" spans="1:4">
      <c r="A90" s="28">
        <v>4</v>
      </c>
      <c r="B90" s="29" t="s">
        <v>80</v>
      </c>
      <c r="C90" s="29"/>
      <c r="D90" s="28" t="s">
        <v>19</v>
      </c>
    </row>
    <row r="91" spans="1:4">
      <c r="A91" s="26" t="s">
        <v>67</v>
      </c>
      <c r="B91" s="27" t="s">
        <v>81</v>
      </c>
      <c r="C91" s="27"/>
      <c r="D91" s="53">
        <f>D82</f>
        <v>400.98849978002886</v>
      </c>
    </row>
    <row r="92" spans="1:4">
      <c r="A92" s="26" t="s">
        <v>76</v>
      </c>
      <c r="B92" s="27" t="s">
        <v>77</v>
      </c>
      <c r="C92" s="27"/>
      <c r="D92" s="53">
        <f>D87</f>
        <v>369.35739669421491</v>
      </c>
    </row>
    <row r="93" spans="1:4">
      <c r="A93" s="29"/>
      <c r="B93" s="28" t="s">
        <v>32</v>
      </c>
      <c r="C93" s="29"/>
      <c r="D93" s="31">
        <f>SUM(D91:D92)</f>
        <v>770.34589647424377</v>
      </c>
    </row>
    <row r="95" spans="1:4">
      <c r="A95" s="2" t="s">
        <v>82</v>
      </c>
      <c r="B95" s="2"/>
      <c r="C95" s="2"/>
      <c r="D95" s="2"/>
    </row>
    <row r="96" spans="1:4">
      <c r="A96" s="28">
        <v>5</v>
      </c>
      <c r="B96" s="29" t="s">
        <v>83</v>
      </c>
      <c r="C96" s="29"/>
      <c r="D96" s="28" t="s">
        <v>19</v>
      </c>
    </row>
    <row r="97" spans="1:4">
      <c r="A97" s="26" t="s">
        <v>20</v>
      </c>
      <c r="B97" s="27" t="s">
        <v>113</v>
      </c>
      <c r="C97" s="27"/>
      <c r="D97" s="53">
        <f>' Insumos'!F25</f>
        <v>4.555416666666666</v>
      </c>
    </row>
    <row r="98" spans="1:4">
      <c r="A98" s="26" t="s">
        <v>22</v>
      </c>
      <c r="B98" s="27" t="s">
        <v>114</v>
      </c>
      <c r="C98" s="27"/>
      <c r="D98" s="53"/>
    </row>
    <row r="99" spans="1:4">
      <c r="A99" s="26" t="s">
        <v>24</v>
      </c>
      <c r="B99" s="27" t="s">
        <v>111</v>
      </c>
      <c r="C99" s="27"/>
      <c r="D99" s="53">
        <f>' Insumos'!F16</f>
        <v>143.38500000000002</v>
      </c>
    </row>
    <row r="100" spans="1:4">
      <c r="A100" s="26" t="s">
        <v>26</v>
      </c>
      <c r="B100" s="27" t="s">
        <v>31</v>
      </c>
      <c r="C100" s="27"/>
      <c r="D100" s="53"/>
    </row>
    <row r="101" spans="1:4">
      <c r="A101" s="29"/>
      <c r="B101" s="28" t="s">
        <v>32</v>
      </c>
      <c r="C101" s="29"/>
      <c r="D101" s="31">
        <f>SUM(D97:D100)</f>
        <v>147.94041666666669</v>
      </c>
    </row>
    <row r="103" spans="1:4">
      <c r="A103" s="2" t="s">
        <v>84</v>
      </c>
      <c r="B103" s="2"/>
      <c r="C103" s="2"/>
      <c r="D103" s="2"/>
    </row>
    <row r="104" spans="1:4">
      <c r="A104" s="28">
        <v>6</v>
      </c>
      <c r="B104" s="29" t="s">
        <v>85</v>
      </c>
      <c r="C104" s="28" t="s">
        <v>41</v>
      </c>
      <c r="D104" s="28" t="s">
        <v>19</v>
      </c>
    </row>
    <row r="105" spans="1:4">
      <c r="A105" s="26" t="s">
        <v>20</v>
      </c>
      <c r="B105" s="27" t="s">
        <v>86</v>
      </c>
      <c r="C105" s="55">
        <v>0.06</v>
      </c>
      <c r="D105" s="53">
        <f>D120*C105</f>
        <v>453.97908402724249</v>
      </c>
    </row>
    <row r="106" spans="1:4">
      <c r="A106" s="26" t="s">
        <v>22</v>
      </c>
      <c r="B106" s="27" t="s">
        <v>87</v>
      </c>
      <c r="C106" s="55">
        <v>6.7900000000000002E-2</v>
      </c>
      <c r="D106" s="53">
        <f>(D120+D105)*C106</f>
        <v>544.57817656294583</v>
      </c>
    </row>
    <row r="107" spans="1:4">
      <c r="A107" s="26" t="s">
        <v>24</v>
      </c>
      <c r="B107" s="27" t="s">
        <v>88</v>
      </c>
      <c r="C107" s="55"/>
      <c r="D107" s="53"/>
    </row>
    <row r="108" spans="1:4">
      <c r="A108" s="26"/>
      <c r="B108" s="27" t="s">
        <v>103</v>
      </c>
      <c r="C108" s="55">
        <v>6.4999999999999997E-3</v>
      </c>
      <c r="D108" s="53">
        <f>(($D$120+$D$105+$D$106)/(1-$C$107))*C108</f>
        <v>55.671689630120831</v>
      </c>
    </row>
    <row r="109" spans="1:4">
      <c r="A109" s="26"/>
      <c r="B109" s="27" t="s">
        <v>101</v>
      </c>
      <c r="C109" s="55">
        <v>0.03</v>
      </c>
      <c r="D109" s="53">
        <f>(($D$120+$D$105+$D$106)/(1-$C$107))*C109</f>
        <v>256.94625983132693</v>
      </c>
    </row>
    <row r="110" spans="1:4">
      <c r="A110" s="26"/>
      <c r="B110" s="27" t="s">
        <v>102</v>
      </c>
      <c r="C110" s="55">
        <v>0.05</v>
      </c>
      <c r="D110" s="53">
        <f>(($D$120+$D$105+$D$106)/(1-$C$107))*C110</f>
        <v>428.24376638554486</v>
      </c>
    </row>
    <row r="111" spans="1:4">
      <c r="A111" s="29"/>
      <c r="B111" s="28" t="s">
        <v>32</v>
      </c>
      <c r="C111" s="34">
        <f>(C105+C106+C107+C108+C109+C110)</f>
        <v>0.21440000000000003</v>
      </c>
      <c r="D111" s="31">
        <f>SUM(D105:D110)</f>
        <v>1739.4189764371808</v>
      </c>
    </row>
    <row r="113" spans="1:4">
      <c r="A113" s="2" t="s">
        <v>89</v>
      </c>
      <c r="B113" s="2"/>
      <c r="C113" s="2"/>
      <c r="D113" s="2"/>
    </row>
    <row r="114" spans="1:4">
      <c r="A114" s="28"/>
      <c r="B114" s="29" t="s">
        <v>90</v>
      </c>
      <c r="C114" s="29"/>
      <c r="D114" s="28" t="s">
        <v>19</v>
      </c>
    </row>
    <row r="115" spans="1:4">
      <c r="A115" s="26" t="s">
        <v>20</v>
      </c>
      <c r="B115" s="27" t="s">
        <v>17</v>
      </c>
      <c r="C115" s="27"/>
      <c r="D115" s="53">
        <f>D24</f>
        <v>3611.4945454545455</v>
      </c>
    </row>
    <row r="116" spans="1:4">
      <c r="A116" s="26" t="s">
        <v>22</v>
      </c>
      <c r="B116" s="27" t="s">
        <v>33</v>
      </c>
      <c r="C116" s="27"/>
      <c r="D116" s="53">
        <f>D61</f>
        <v>2797.7371636363641</v>
      </c>
    </row>
    <row r="117" spans="1:4">
      <c r="A117" s="26" t="s">
        <v>24</v>
      </c>
      <c r="B117" s="27" t="s">
        <v>60</v>
      </c>
      <c r="C117" s="27"/>
      <c r="D117" s="53">
        <f>D71</f>
        <v>238.80004488888892</v>
      </c>
    </row>
    <row r="118" spans="1:4">
      <c r="A118" s="26" t="s">
        <v>26</v>
      </c>
      <c r="B118" s="27" t="s">
        <v>65</v>
      </c>
      <c r="C118" s="27"/>
      <c r="D118" s="53">
        <f>D93</f>
        <v>770.34589647424377</v>
      </c>
    </row>
    <row r="119" spans="1:4">
      <c r="A119" s="26" t="s">
        <v>28</v>
      </c>
      <c r="B119" s="27" t="s">
        <v>91</v>
      </c>
      <c r="C119" s="27"/>
      <c r="D119" s="53">
        <f>D101</f>
        <v>147.94041666666669</v>
      </c>
    </row>
    <row r="120" spans="1:4">
      <c r="A120" s="28"/>
      <c r="B120" s="28" t="s">
        <v>92</v>
      </c>
      <c r="C120" s="29"/>
      <c r="D120" s="31">
        <f>SUM(D115:D119)</f>
        <v>7566.3180671207083</v>
      </c>
    </row>
    <row r="121" spans="1:4">
      <c r="A121" s="26" t="s">
        <v>30</v>
      </c>
      <c r="B121" s="27" t="s">
        <v>84</v>
      </c>
      <c r="C121" s="27"/>
      <c r="D121" s="30">
        <f>D111</f>
        <v>1739.4189764371808</v>
      </c>
    </row>
    <row r="122" spans="1:4">
      <c r="A122" s="28"/>
      <c r="B122" s="28" t="s">
        <v>93</v>
      </c>
      <c r="C122" s="29"/>
      <c r="D122" s="39">
        <f>TRUNC(D120+D121,2)</f>
        <v>9305.73</v>
      </c>
    </row>
    <row r="123" spans="1:4">
      <c r="A123" s="2" t="s">
        <v>168</v>
      </c>
      <c r="D123" s="63">
        <f>TRUNC(D122*2,2)</f>
        <v>18611.46</v>
      </c>
    </row>
  </sheetData>
  <sheetProtection selectLockedCells="1"/>
  <mergeCells count="6">
    <mergeCell ref="B14:C14"/>
    <mergeCell ref="A1:D1"/>
    <mergeCell ref="B10:C10"/>
    <mergeCell ref="B11:C11"/>
    <mergeCell ref="B12:C12"/>
    <mergeCell ref="B13:C13"/>
  </mergeCells>
  <pageMargins left="0.78740157480314965" right="0.39370078740157483" top="0.39370078740157483" bottom="0.39370078740157483" header="0.51181102362204722" footer="0.51181102362204722"/>
  <pageSetup paperSize="9" scale="69" orientation="portrait" horizontalDpi="300" verticalDpi="300" r:id="rId1"/>
  <headerFooter alignWithMargins="0"/>
  <rowBreaks count="1" manualBreakCount="1">
    <brk id="62" max="4" man="1"/>
  </rowBreaks>
  <ignoredErrors>
    <ignoredError sqref="D19 D21 C29:D30 D36:D43 D48:D49 D53 D58:D60 C65:D70 C76:D76 C77:D77 C78:D78 C79:D79 C80:D80 C81:D81 D105:D110 D115:D119 D86 D91:D92 D97 D99" unlockedFormula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theme="0" tint="-0.14999847407452621"/>
  </sheetPr>
  <dimension ref="A1:M27"/>
  <sheetViews>
    <sheetView view="pageBreakPreview" topLeftCell="A3" zoomScaleNormal="100" zoomScaleSheetLayoutView="100" workbookViewId="0">
      <selection activeCell="H23" sqref="H23"/>
    </sheetView>
  </sheetViews>
  <sheetFormatPr defaultColWidth="11.5703125" defaultRowHeight="12.75"/>
  <cols>
    <col min="1" max="1" width="34" customWidth="1"/>
    <col min="2" max="2" width="20.140625" customWidth="1"/>
    <col min="4" max="4" width="14" customWidth="1"/>
    <col min="5" max="5" width="22.5703125" customWidth="1"/>
    <col min="6" max="6" width="22.42578125" customWidth="1"/>
  </cols>
  <sheetData>
    <row r="1" spans="1:13" ht="15.75">
      <c r="A1" s="74" t="s">
        <v>132</v>
      </c>
      <c r="B1" s="74"/>
      <c r="C1" s="74"/>
      <c r="D1" s="74"/>
      <c r="E1" s="74"/>
      <c r="F1" s="10"/>
    </row>
    <row r="2" spans="1:13" ht="15.75">
      <c r="A2" s="75" t="s">
        <v>111</v>
      </c>
      <c r="B2" s="75"/>
      <c r="C2" s="75"/>
      <c r="D2" s="75"/>
      <c r="E2" s="75"/>
      <c r="F2" s="22"/>
    </row>
    <row r="3" spans="1:13" ht="31.5">
      <c r="A3" s="3" t="s">
        <v>98</v>
      </c>
      <c r="B3" s="3" t="s">
        <v>106</v>
      </c>
      <c r="C3" s="3" t="s">
        <v>107</v>
      </c>
      <c r="D3" s="3" t="s">
        <v>108</v>
      </c>
      <c r="E3" s="3" t="s">
        <v>109</v>
      </c>
      <c r="F3" s="3" t="s">
        <v>134</v>
      </c>
      <c r="H3" t="s">
        <v>149</v>
      </c>
    </row>
    <row r="4" spans="1:13" ht="15.75">
      <c r="A4" s="4" t="s">
        <v>124</v>
      </c>
      <c r="B4" s="5">
        <v>16</v>
      </c>
      <c r="C4" s="61">
        <v>140</v>
      </c>
      <c r="D4" s="6">
        <f t="shared" ref="D4:D15" si="0">B4*C4</f>
        <v>2240</v>
      </c>
      <c r="E4" s="7">
        <f t="shared" ref="E4:E15" si="1">D4/12</f>
        <v>186.66666666666666</v>
      </c>
      <c r="F4" s="7">
        <f t="shared" ref="F4:F9" si="2">E4/4</f>
        <v>46.666666666666664</v>
      </c>
      <c r="H4" s="64">
        <v>2</v>
      </c>
      <c r="I4" s="64" t="s">
        <v>150</v>
      </c>
      <c r="L4">
        <v>8</v>
      </c>
      <c r="M4">
        <v>16</v>
      </c>
    </row>
    <row r="5" spans="1:13" ht="15.75">
      <c r="A5" s="4" t="s">
        <v>125</v>
      </c>
      <c r="B5" s="5">
        <v>16</v>
      </c>
      <c r="C5" s="61">
        <v>80.5</v>
      </c>
      <c r="D5" s="6">
        <f t="shared" si="0"/>
        <v>1288</v>
      </c>
      <c r="E5" s="7">
        <f t="shared" si="1"/>
        <v>107.33333333333333</v>
      </c>
      <c r="F5" s="7">
        <f t="shared" si="2"/>
        <v>26.833333333333332</v>
      </c>
      <c r="H5" s="64">
        <v>2</v>
      </c>
      <c r="I5" s="64" t="s">
        <v>151</v>
      </c>
      <c r="J5" s="64"/>
      <c r="L5">
        <v>8</v>
      </c>
      <c r="M5">
        <v>16</v>
      </c>
    </row>
    <row r="6" spans="1:13" ht="15.75">
      <c r="A6" s="4" t="s">
        <v>126</v>
      </c>
      <c r="B6" s="5">
        <v>16</v>
      </c>
      <c r="C6" s="61">
        <v>89.9</v>
      </c>
      <c r="D6" s="6">
        <f t="shared" si="0"/>
        <v>1438.4</v>
      </c>
      <c r="E6" s="7">
        <f t="shared" si="1"/>
        <v>119.86666666666667</v>
      </c>
      <c r="F6" s="7">
        <f t="shared" si="2"/>
        <v>29.966666666666669</v>
      </c>
      <c r="H6" s="64">
        <v>2</v>
      </c>
      <c r="I6" s="64" t="s">
        <v>152</v>
      </c>
      <c r="J6" s="64"/>
      <c r="L6">
        <v>8</v>
      </c>
      <c r="M6">
        <v>16</v>
      </c>
    </row>
    <row r="7" spans="1:13" ht="15.75">
      <c r="A7" s="4" t="s">
        <v>119</v>
      </c>
      <c r="B7" s="5">
        <v>4</v>
      </c>
      <c r="C7" s="61">
        <v>20</v>
      </c>
      <c r="D7" s="6">
        <f t="shared" si="0"/>
        <v>80</v>
      </c>
      <c r="E7" s="7">
        <f t="shared" si="1"/>
        <v>6.666666666666667</v>
      </c>
      <c r="F7" s="7">
        <f t="shared" si="2"/>
        <v>1.6666666666666667</v>
      </c>
      <c r="H7" s="64">
        <v>1</v>
      </c>
      <c r="I7" s="64" t="s">
        <v>153</v>
      </c>
      <c r="J7" s="64"/>
      <c r="L7">
        <v>4</v>
      </c>
      <c r="M7">
        <v>4</v>
      </c>
    </row>
    <row r="8" spans="1:13" ht="15.75">
      <c r="A8" s="4" t="s">
        <v>127</v>
      </c>
      <c r="B8" s="5">
        <v>8</v>
      </c>
      <c r="C8" s="61">
        <v>88.9</v>
      </c>
      <c r="D8" s="6">
        <f t="shared" si="0"/>
        <v>711.2</v>
      </c>
      <c r="E8" s="7">
        <f t="shared" si="1"/>
        <v>59.266666666666673</v>
      </c>
      <c r="F8" s="7">
        <f t="shared" si="2"/>
        <v>14.816666666666668</v>
      </c>
      <c r="H8" s="64">
        <v>2</v>
      </c>
      <c r="I8" s="64" t="s">
        <v>154</v>
      </c>
      <c r="J8" s="64"/>
      <c r="L8">
        <v>8</v>
      </c>
      <c r="M8">
        <v>8</v>
      </c>
    </row>
    <row r="9" spans="1:13" ht="15.75">
      <c r="A9" s="4" t="s">
        <v>128</v>
      </c>
      <c r="B9" s="5">
        <v>24</v>
      </c>
      <c r="C9" s="61">
        <v>8</v>
      </c>
      <c r="D9" s="6">
        <f t="shared" si="0"/>
        <v>192</v>
      </c>
      <c r="E9" s="7">
        <f t="shared" si="1"/>
        <v>16</v>
      </c>
      <c r="F9" s="7">
        <f t="shared" si="2"/>
        <v>4</v>
      </c>
      <c r="H9" s="64">
        <v>3</v>
      </c>
      <c r="I9" s="64" t="s">
        <v>155</v>
      </c>
      <c r="J9" s="64"/>
      <c r="L9">
        <v>12</v>
      </c>
      <c r="M9">
        <v>24</v>
      </c>
    </row>
    <row r="10" spans="1:13" ht="15.75">
      <c r="A10" s="4" t="s">
        <v>118</v>
      </c>
      <c r="B10" s="5">
        <v>4</v>
      </c>
      <c r="C10" s="61">
        <v>139.9</v>
      </c>
      <c r="D10" s="6">
        <f t="shared" si="0"/>
        <v>559.6</v>
      </c>
      <c r="E10" s="7">
        <f t="shared" si="1"/>
        <v>46.633333333333333</v>
      </c>
      <c r="F10" s="7">
        <f t="shared" ref="F10:F15" si="3">E10/4</f>
        <v>11.658333333333333</v>
      </c>
      <c r="H10" s="64">
        <v>1</v>
      </c>
      <c r="I10" s="64" t="s">
        <v>156</v>
      </c>
      <c r="J10" s="64"/>
    </row>
    <row r="11" spans="1:13" ht="15.75">
      <c r="A11" s="4" t="s">
        <v>99</v>
      </c>
      <c r="B11" s="5">
        <v>4</v>
      </c>
      <c r="C11" s="61">
        <v>23.05</v>
      </c>
      <c r="D11" s="6">
        <f t="shared" si="0"/>
        <v>92.2</v>
      </c>
      <c r="E11" s="7">
        <f t="shared" si="1"/>
        <v>7.6833333333333336</v>
      </c>
      <c r="F11" s="7">
        <f t="shared" si="3"/>
        <v>1.9208333333333334</v>
      </c>
      <c r="H11" s="64">
        <v>1</v>
      </c>
      <c r="I11" s="64" t="s">
        <v>157</v>
      </c>
      <c r="J11" s="64"/>
    </row>
    <row r="12" spans="1:13" ht="15.75">
      <c r="A12" s="4" t="s">
        <v>120</v>
      </c>
      <c r="B12" s="5">
        <v>4</v>
      </c>
      <c r="C12" s="61">
        <v>11.19</v>
      </c>
      <c r="D12" s="6">
        <f t="shared" si="0"/>
        <v>44.76</v>
      </c>
      <c r="E12" s="7">
        <f t="shared" si="1"/>
        <v>3.73</v>
      </c>
      <c r="F12" s="7">
        <f t="shared" si="3"/>
        <v>0.9325</v>
      </c>
      <c r="H12" s="64">
        <v>1</v>
      </c>
      <c r="I12" s="64" t="s">
        <v>158</v>
      </c>
      <c r="J12" s="64"/>
    </row>
    <row r="13" spans="1:13" ht="15.75">
      <c r="A13" s="4" t="s">
        <v>122</v>
      </c>
      <c r="B13" s="5">
        <v>4</v>
      </c>
      <c r="C13" s="61">
        <v>14.08</v>
      </c>
      <c r="D13" s="6">
        <f t="shared" si="0"/>
        <v>56.32</v>
      </c>
      <c r="E13" s="7">
        <f t="shared" si="1"/>
        <v>4.6933333333333334</v>
      </c>
      <c r="F13" s="7">
        <f t="shared" si="3"/>
        <v>1.1733333333333333</v>
      </c>
      <c r="H13" s="64">
        <v>1</v>
      </c>
      <c r="I13" s="64" t="s">
        <v>160</v>
      </c>
      <c r="J13" s="64"/>
    </row>
    <row r="14" spans="1:13" ht="15.75">
      <c r="A14" s="4" t="s">
        <v>123</v>
      </c>
      <c r="B14" s="5">
        <v>4</v>
      </c>
      <c r="C14" s="61">
        <v>5</v>
      </c>
      <c r="D14" s="6">
        <f t="shared" si="0"/>
        <v>20</v>
      </c>
      <c r="E14" s="7">
        <f t="shared" si="1"/>
        <v>1.6666666666666667</v>
      </c>
      <c r="F14" s="7">
        <f t="shared" si="3"/>
        <v>0.41666666666666669</v>
      </c>
      <c r="H14" s="64">
        <v>1</v>
      </c>
      <c r="I14" s="64" t="s">
        <v>161</v>
      </c>
      <c r="J14" s="64"/>
    </row>
    <row r="15" spans="1:13" ht="15.75">
      <c r="A15" s="4" t="s">
        <v>148</v>
      </c>
      <c r="B15" s="23">
        <v>8</v>
      </c>
      <c r="C15" s="61">
        <v>20</v>
      </c>
      <c r="D15" s="24">
        <f t="shared" si="0"/>
        <v>160</v>
      </c>
      <c r="E15" s="25">
        <f t="shared" si="1"/>
        <v>13.333333333333334</v>
      </c>
      <c r="F15" s="7">
        <f t="shared" si="3"/>
        <v>3.3333333333333335</v>
      </c>
      <c r="H15" s="64">
        <v>1</v>
      </c>
      <c r="I15" s="64" t="s">
        <v>162</v>
      </c>
      <c r="J15" s="64"/>
    </row>
    <row r="16" spans="1:13" ht="15.75">
      <c r="A16" s="17" t="s">
        <v>74</v>
      </c>
      <c r="B16" s="18"/>
      <c r="C16" s="19"/>
      <c r="D16" s="20">
        <f>SUM(D4:D15)</f>
        <v>6882.48</v>
      </c>
      <c r="E16" s="21">
        <f>SUM(E4:E15)</f>
        <v>573.54000000000008</v>
      </c>
      <c r="F16" s="21">
        <f>SUM(F4:F15)</f>
        <v>143.38500000000002</v>
      </c>
    </row>
    <row r="17" spans="1:9" ht="15.75">
      <c r="A17" s="10"/>
      <c r="B17" s="10"/>
      <c r="C17" s="10"/>
      <c r="D17" s="10"/>
      <c r="E17" s="10"/>
      <c r="F17" s="10"/>
    </row>
    <row r="18" spans="1:9" ht="15.75">
      <c r="A18" s="75" t="s">
        <v>110</v>
      </c>
      <c r="B18" s="75"/>
      <c r="C18" s="75"/>
      <c r="D18" s="75"/>
      <c r="E18" s="75"/>
      <c r="F18" s="22"/>
    </row>
    <row r="19" spans="1:9" ht="31.5">
      <c r="A19" s="3" t="s">
        <v>98</v>
      </c>
      <c r="B19" s="3" t="s">
        <v>112</v>
      </c>
      <c r="C19" s="3" t="s">
        <v>107</v>
      </c>
      <c r="D19" s="3" t="s">
        <v>108</v>
      </c>
      <c r="E19" s="3" t="s">
        <v>109</v>
      </c>
      <c r="F19" s="3" t="s">
        <v>134</v>
      </c>
    </row>
    <row r="20" spans="1:9" ht="15.75">
      <c r="A20" s="4" t="s">
        <v>129</v>
      </c>
      <c r="B20" s="5">
        <v>2</v>
      </c>
      <c r="C20" s="61">
        <v>16.899999999999999</v>
      </c>
      <c r="D20" s="6">
        <f>B20*C20</f>
        <v>33.799999999999997</v>
      </c>
      <c r="E20" s="7">
        <f>D20/12</f>
        <v>2.8166666666666664</v>
      </c>
      <c r="F20" s="7">
        <f>E20/4</f>
        <v>0.70416666666666661</v>
      </c>
      <c r="H20">
        <v>2</v>
      </c>
      <c r="I20" t="s">
        <v>163</v>
      </c>
    </row>
    <row r="21" spans="1:9" ht="15.75">
      <c r="A21" s="4" t="s">
        <v>130</v>
      </c>
      <c r="B21" s="5">
        <v>2</v>
      </c>
      <c r="C21" s="62">
        <v>35</v>
      </c>
      <c r="D21" s="6">
        <f>B21*C21</f>
        <v>70</v>
      </c>
      <c r="E21" s="7">
        <f>D21/12</f>
        <v>5.833333333333333</v>
      </c>
      <c r="F21" s="7">
        <f t="shared" ref="F21:F23" si="4">E21/4</f>
        <v>1.4583333333333333</v>
      </c>
      <c r="H21">
        <v>2</v>
      </c>
      <c r="I21" t="s">
        <v>164</v>
      </c>
    </row>
    <row r="22" spans="1:9" ht="15.75" customHeight="1">
      <c r="A22" s="4" t="s">
        <v>121</v>
      </c>
      <c r="B22" s="23">
        <v>2</v>
      </c>
      <c r="C22" s="62">
        <v>20.9</v>
      </c>
      <c r="D22" s="6">
        <f>B22*C22</f>
        <v>41.8</v>
      </c>
      <c r="E22" s="7">
        <f>D22/12</f>
        <v>3.4833333333333329</v>
      </c>
      <c r="F22" s="7">
        <f t="shared" si="4"/>
        <v>0.87083333333333324</v>
      </c>
      <c r="H22">
        <v>2</v>
      </c>
      <c r="I22" t="s">
        <v>159</v>
      </c>
    </row>
    <row r="23" spans="1:9" ht="15.75" customHeight="1">
      <c r="A23" s="4" t="s">
        <v>131</v>
      </c>
      <c r="B23" s="5">
        <v>2</v>
      </c>
      <c r="C23" s="61">
        <v>36.53</v>
      </c>
      <c r="D23" s="6">
        <f>B23*C23</f>
        <v>73.06</v>
      </c>
      <c r="E23" s="7">
        <f>D23/12</f>
        <v>6.0883333333333338</v>
      </c>
      <c r="F23" s="7">
        <f t="shared" si="4"/>
        <v>1.5220833333333335</v>
      </c>
      <c r="H23">
        <v>2</v>
      </c>
      <c r="I23" t="s">
        <v>165</v>
      </c>
    </row>
    <row r="24" spans="1:9" ht="15.75">
      <c r="A24" s="17" t="s">
        <v>74</v>
      </c>
      <c r="B24" s="18"/>
      <c r="C24" s="19"/>
      <c r="D24" s="20">
        <f>SUM(D23:D23)</f>
        <v>73.06</v>
      </c>
      <c r="E24" s="21"/>
      <c r="F24" s="7">
        <v>0</v>
      </c>
    </row>
    <row r="25" spans="1:9" ht="15.75">
      <c r="A25" s="14" t="s">
        <v>133</v>
      </c>
      <c r="B25" s="16"/>
      <c r="C25" s="15"/>
      <c r="D25" s="40">
        <f>D16+D24</f>
        <v>6955.54</v>
      </c>
      <c r="E25" s="40">
        <f>SUM(E16,F25)</f>
        <v>578.09541666666678</v>
      </c>
      <c r="F25" s="8">
        <f>SUM(F20:F24)</f>
        <v>4.555416666666666</v>
      </c>
    </row>
    <row r="26" spans="1:9" ht="15.75">
      <c r="A26" s="9"/>
      <c r="B26" s="9"/>
      <c r="C26" s="9"/>
      <c r="D26" s="9"/>
      <c r="E26" s="9"/>
      <c r="F26" s="9"/>
    </row>
    <row r="27" spans="1:9" ht="15.75">
      <c r="A27" s="9"/>
      <c r="B27" s="9"/>
      <c r="C27" s="9"/>
      <c r="D27" s="9"/>
      <c r="E27" s="9"/>
      <c r="F27" s="9"/>
    </row>
  </sheetData>
  <sheetProtection selectLockedCells="1"/>
  <mergeCells count="3">
    <mergeCell ref="A1:E1"/>
    <mergeCell ref="A18:E18"/>
    <mergeCell ref="A2:E2"/>
  </mergeCells>
  <printOptions horizontalCentered="1"/>
  <pageMargins left="0.39370078740157483" right="0.39370078740157483" top="0.39370078740157483" bottom="0.39370078740157483" header="0.51181102362204722" footer="0.51181102362204722"/>
  <pageSetup paperSize="9" scale="78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4</vt:i4>
      </vt:variant>
      <vt:variant>
        <vt:lpstr>Intervalos Nomeados</vt:lpstr>
      </vt:variant>
      <vt:variant>
        <vt:i4>3</vt:i4>
      </vt:variant>
    </vt:vector>
  </HeadingPairs>
  <TitlesOfParts>
    <vt:vector size="7" baseType="lpstr">
      <vt:lpstr>Resumo</vt:lpstr>
      <vt:lpstr>12X 36 Diurno</vt:lpstr>
      <vt:lpstr>12 x 36 Noturno</vt:lpstr>
      <vt:lpstr> Insumos</vt:lpstr>
      <vt:lpstr>' Insumos'!Area_de_impressao</vt:lpstr>
      <vt:lpstr>'12 x 36 Noturno'!Area_de_impressao</vt:lpstr>
      <vt:lpstr>'12X 36 Diurno'!Area_de_impressao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Gestão Licitações</dc:creator>
  <cp:lastModifiedBy>Ivan Luiz de Souza</cp:lastModifiedBy>
  <cp:lastPrinted>2026-04-23T12:56:55Z</cp:lastPrinted>
  <dcterms:created xsi:type="dcterms:W3CDTF">2019-01-12T19:03:12Z</dcterms:created>
  <dcterms:modified xsi:type="dcterms:W3CDTF">2026-06-11T11:56:36Z</dcterms:modified>
</cp:coreProperties>
</file>